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defaultThemeVersion="124226"/>
  <bookViews>
    <workbookView xWindow="65428" yWindow="65428" windowWidth="23256" windowHeight="12576" tabRatio="774" activeTab="0"/>
  </bookViews>
  <sheets>
    <sheet name="Income Statement" sheetId="5" r:id="rId1"/>
    <sheet name="Assumptions" sheetId="8" r:id="rId2"/>
    <sheet name="Cash Flow Forecast" sheetId="1" r:id="rId3"/>
    <sheet name="Sales Forecast" sheetId="6" r:id="rId4"/>
    <sheet name="Expense Forecast" sheetId="9" r:id="rId5"/>
    <sheet name="Accounts Receivable" sheetId="2" r:id="rId6"/>
    <sheet name="Accounts Payable" sheetId="7" r:id="rId7"/>
    <sheet name="Lookup tab" sheetId="10" r:id="rId8"/>
  </sheets>
  <definedNames>
    <definedName name="Month1_Ending_Bal">'Cash Flow Forecast'!$H$48</definedName>
    <definedName name="_xlnm.Print_Area" localSheetId="6">'Accounts Payable'!$A$1:$R$28</definedName>
    <definedName name="_xlnm.Print_Area" localSheetId="5">'Accounts Receivable'!$A$1:$R$28</definedName>
    <definedName name="_xlnm.Print_Area" localSheetId="2">'Cash Flow Forecast'!$B$2:$T$43</definedName>
    <definedName name="_xlnm.Print_Area" localSheetId="4">'Expense Forecast'!$A$1:$N$12</definedName>
    <definedName name="_xlnm.Print_Area" localSheetId="3">'Sales Forecast'!$A$1:$N$15</definedName>
    <definedName name="_xlnm.Print_Titles" localSheetId="2">'Cash Flow Forecast'!$B:$C</definedName>
    <definedName name="_xlnm.Print_Titles" localSheetId="3">'Sales Forecast'!$A:$A</definedName>
    <definedName name="_xlnm.Print_Titles" localSheetId="4">'Expense Forecast'!$A:$A</definedName>
    <definedName name="_xlnm.Print_Titles" localSheetId="5">'Accounts Receivable'!$A:$B</definedName>
    <definedName name="_xlnm.Print_Titles" localSheetId="6">'Accounts Payable'!$A:$B</definedName>
  </definedNames>
  <calcPr calcId="191029"/>
  <extLst/>
</workbook>
</file>

<file path=xl/comments4.xml><?xml version="1.0" encoding="utf-8"?>
<comments xmlns="http://schemas.openxmlformats.org/spreadsheetml/2006/main">
  <authors>
    <author>Tim Seidel</author>
  </authors>
  <commentList>
    <comment ref="A5" authorId="0">
      <text>
        <r>
          <rPr>
            <b/>
            <sz val="9"/>
            <rFont val="Tahoma"/>
            <family val="2"/>
          </rPr>
          <t>Tim Seidel:</t>
        </r>
        <r>
          <rPr>
            <sz val="9"/>
            <rFont val="Tahoma"/>
            <family val="2"/>
          </rPr>
          <t xml:space="preserve">
If you have multiple lines of service you can separate them here along with difference collection speeds</t>
        </r>
      </text>
    </comment>
  </commentList>
</comments>
</file>

<file path=xl/comments6.xml><?xml version="1.0" encoding="utf-8"?>
<comments xmlns="http://schemas.openxmlformats.org/spreadsheetml/2006/main">
  <authors>
    <author>Sam Thacker</author>
  </authors>
  <commentList>
    <comment ref="A6" authorId="0">
      <text>
        <r>
          <rPr>
            <sz val="8"/>
            <rFont val="Tahoma"/>
            <family val="2"/>
          </rPr>
          <t xml:space="preserve">
Either put specific A/R accounts here or use one line for all A/R. If you have only a few customers, enter each one on a single line. If you have many average them by days of turn.
</t>
        </r>
      </text>
    </comment>
  </commentList>
</comments>
</file>

<file path=xl/sharedStrings.xml><?xml version="1.0" encoding="utf-8"?>
<sst xmlns="http://schemas.openxmlformats.org/spreadsheetml/2006/main" count="271" uniqueCount="144">
  <si>
    <t>Beginning Cash Balance</t>
  </si>
  <si>
    <t>Cash Inflows (Income):</t>
  </si>
  <si>
    <t>Loan Proceeds</t>
  </si>
  <si>
    <t>Other:</t>
  </si>
  <si>
    <t xml:space="preserve">   Total Cash Inflows</t>
  </si>
  <si>
    <t>Available Cash Balance</t>
  </si>
  <si>
    <t>Cash Outflows (Expenses):</t>
  </si>
  <si>
    <t>Health Insurance</t>
  </si>
  <si>
    <t>Insurance</t>
  </si>
  <si>
    <t>Miscellaneous</t>
  </si>
  <si>
    <t>Payroll</t>
  </si>
  <si>
    <t>Other Cash Out Flows:</t>
  </si>
  <si>
    <t>Capital Purchases</t>
  </si>
  <si>
    <t>Owner's Draw</t>
  </si>
  <si>
    <t xml:space="preserve">   Total Cash Outflows</t>
  </si>
  <si>
    <t>Ending Cash Balance</t>
  </si>
  <si>
    <t>Current Week</t>
  </si>
  <si>
    <t>Projected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</si>
  <si>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</si>
  <si>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</si>
  <si>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</si>
  <si>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</si>
  <si>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</si>
  <si>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</si>
  <si>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</si>
  <si>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</si>
  <si>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</si>
  <si>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</si>
  <si>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</si>
  <si>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</si>
  <si>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Line of Credit Proceeds</t>
  </si>
  <si>
    <t>Other A/R Transferred to Main Page</t>
  </si>
  <si>
    <t>Enter Est A/R Collections Here</t>
  </si>
  <si>
    <t>Accounts Receivable</t>
  </si>
  <si>
    <t>Collections (based on days turn)</t>
  </si>
  <si>
    <t>Amount</t>
  </si>
  <si>
    <t>Due Date</t>
  </si>
  <si>
    <t>Customer Receipts</t>
  </si>
  <si>
    <t>% of Base Sales</t>
  </si>
  <si>
    <t>Adjusted Sales</t>
  </si>
  <si>
    <t>Turnover</t>
  </si>
  <si>
    <t>Line of Service #1</t>
  </si>
  <si>
    <t>Cash Collections Transferred to Main Page</t>
  </si>
  <si>
    <t>Sales Forecast</t>
  </si>
  <si>
    <t>Collected in 3 weeks</t>
  </si>
  <si>
    <t>Collected in 4 weeks</t>
  </si>
  <si>
    <t>Collected in 5 weeks</t>
  </si>
  <si>
    <t>Collected in 6 weeks</t>
  </si>
  <si>
    <t>week 1</t>
  </si>
  <si>
    <t>week 8</t>
  </si>
  <si>
    <t>week 2</t>
  </si>
  <si>
    <t>week 3</t>
  </si>
  <si>
    <t>week 4</t>
  </si>
  <si>
    <t>week 5</t>
  </si>
  <si>
    <t>week 6</t>
  </si>
  <si>
    <t>week 7</t>
  </si>
  <si>
    <t>average</t>
  </si>
  <si>
    <t>beg</t>
  </si>
  <si>
    <t>end</t>
  </si>
  <si>
    <t>Collected in 7 weeks</t>
  </si>
  <si>
    <t>Collected in 8 weeks</t>
  </si>
  <si>
    <t>week 9</t>
  </si>
  <si>
    <t>Collected in 9 weeks</t>
  </si>
  <si>
    <t>Accounts Payable</t>
  </si>
  <si>
    <t>Enter AP listing</t>
  </si>
  <si>
    <t>Cost of sales</t>
  </si>
  <si>
    <t>Other operating expenses</t>
  </si>
  <si>
    <t>COGS Margin</t>
  </si>
  <si>
    <t>Loan Payment</t>
  </si>
  <si>
    <t>Net sales</t>
  </si>
  <si>
    <t>Revenues</t>
  </si>
  <si>
    <t>COGS</t>
  </si>
  <si>
    <t>Freight</t>
  </si>
  <si>
    <t>Payroll taxes</t>
  </si>
  <si>
    <t>Health insurance</t>
  </si>
  <si>
    <t>Utilities</t>
  </si>
  <si>
    <t>Depreciation</t>
  </si>
  <si>
    <t>Operating expenses</t>
  </si>
  <si>
    <t>Office and administrative expenses</t>
  </si>
  <si>
    <t>Travel</t>
  </si>
  <si>
    <t>Meals and entertainment</t>
  </si>
  <si>
    <t>Legal and accounting</t>
  </si>
  <si>
    <t>Dues and subscriptions</t>
  </si>
  <si>
    <t>Automobile and truck expense</t>
  </si>
  <si>
    <t>Property and other taxes</t>
  </si>
  <si>
    <t>Postage</t>
  </si>
  <si>
    <t>Telephone</t>
  </si>
  <si>
    <t>Maintenance</t>
  </si>
  <si>
    <t>Bank charges</t>
  </si>
  <si>
    <t>Advertising and promotion</t>
  </si>
  <si>
    <t>Provision for bad debts</t>
  </si>
  <si>
    <t>Operating Expenses</t>
  </si>
  <si>
    <t>Interest expense</t>
  </si>
  <si>
    <t>Net income (loss)</t>
  </si>
  <si>
    <t>Wages</t>
  </si>
  <si>
    <t>Cost of goods sold</t>
  </si>
  <si>
    <t>Projection</t>
  </si>
  <si>
    <t>Collected in 10 weeks</t>
  </si>
  <si>
    <t>week 10</t>
  </si>
  <si>
    <t>Days AR Outstanding (from cash flow)</t>
  </si>
  <si>
    <t>Current Accounts Payable</t>
  </si>
  <si>
    <t>Current Accounts Receivable</t>
  </si>
  <si>
    <t>Baseline Sales</t>
  </si>
  <si>
    <t>% of Baseline Sales</t>
  </si>
  <si>
    <t>Sales</t>
  </si>
  <si>
    <t>Days to collect sales</t>
  </si>
  <si>
    <t>Days to pay purchases</t>
  </si>
  <si>
    <t>Days Sales Outstanding</t>
  </si>
  <si>
    <t>Days Payables Outstanding</t>
  </si>
  <si>
    <t>Cost of Goods sold as % of Sales</t>
  </si>
  <si>
    <t>Operating expenses as % of Sales</t>
  </si>
  <si>
    <t>Weekly Revenue</t>
  </si>
  <si>
    <t>Days AP Outstanding (from cash flow)</t>
  </si>
  <si>
    <t>Cost of Sales %</t>
  </si>
  <si>
    <t>COGS %</t>
  </si>
  <si>
    <t>Other Operating Expenses %</t>
  </si>
  <si>
    <t>Operating Expense %</t>
  </si>
  <si>
    <t>Wages - Production</t>
  </si>
  <si>
    <t>Payroll taxes - Production</t>
  </si>
  <si>
    <t>Personnel - Fixed</t>
  </si>
  <si>
    <t>Personnel - Variable</t>
  </si>
  <si>
    <t>Fixed Costs:</t>
  </si>
  <si>
    <t>Variable Costs:</t>
  </si>
  <si>
    <t>Production Payroll as % of Sales</t>
  </si>
  <si>
    <t>Health Insurance (Monthly)</t>
  </si>
  <si>
    <t>Payroll (Biweekly)</t>
  </si>
  <si>
    <t>Fixed or Variable</t>
  </si>
  <si>
    <t>V</t>
  </si>
  <si>
    <t>F</t>
  </si>
  <si>
    <t>Other Fixed costs</t>
  </si>
  <si>
    <t>Paid annually</t>
  </si>
  <si>
    <t>Noncash</t>
  </si>
  <si>
    <t>Exclude</t>
  </si>
  <si>
    <t>Annual</t>
  </si>
  <si>
    <t>Actual</t>
  </si>
  <si>
    <t>Prior Week 1</t>
  </si>
  <si>
    <t>Prior Week 2</t>
  </si>
  <si>
    <t>Prior Week 3</t>
  </si>
  <si>
    <t>Prior Week 4</t>
  </si>
  <si>
    <t>Weekly Statistics</t>
  </si>
  <si>
    <t>Typical Operations:</t>
  </si>
  <si>
    <t>Current Environment</t>
  </si>
  <si>
    <t>Other Fixed Expenses (Monthly)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</si>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</sst>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</numFmts>
  <fonts count="14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10"/>
      <color rgb="FF0070C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double"/>
      <right style="double"/>
      <top/>
      <bottom style="medium"/>
    </border>
    <border>
      <left style="double"/>
      <right style="double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double"/>
      <right style="double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uble"/>
      <right style="medium"/>
      <top/>
      <bottom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double"/>
      <top/>
      <bottom style="double"/>
    </border>
    <border>
      <left style="medium"/>
      <right style="medium"/>
      <top/>
      <bottom style="double"/>
    </border>
    <border>
      <left style="double"/>
      <right/>
      <top/>
      <bottom/>
    </border>
    <border>
      <left style="medium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/>
      <right style="medium"/>
      <top/>
      <bottom style="double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double"/>
    </border>
    <border>
      <left style="thick">
        <color rgb="FFFF0000"/>
      </left>
      <right/>
      <top style="medium"/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medium"/>
    </border>
    <border>
      <left style="thick">
        <color rgb="FFFF0000"/>
      </left>
      <right style="medium"/>
      <top/>
      <bottom style="double"/>
    </border>
    <border>
      <left style="thick">
        <color rgb="FFFF0000"/>
      </left>
      <right/>
      <top style="medium"/>
      <bottom style="medium"/>
    </border>
    <border>
      <left style="thick">
        <color rgb="FFFF0000"/>
      </left>
      <right style="medium"/>
      <top style="medium"/>
      <bottom/>
    </border>
    <border>
      <left style="thick">
        <color rgb="FFFF0000"/>
      </left>
      <right style="medium"/>
      <top/>
      <bottom/>
    </border>
    <border>
      <left style="thick">
        <color rgb="FFFF0000"/>
      </left>
      <right style="medium"/>
      <top/>
      <bottom style="medium"/>
    </border>
    <border>
      <left/>
      <right/>
      <top style="medium"/>
      <bottom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0" fillId="2" borderId="0">
      <alignment/>
      <protection/>
    </xf>
    <xf numFmtId="40" fontId="10" fillId="2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40" fontId="3" fillId="0" borderId="1">
      <alignment horizontal="right"/>
      <protection/>
    </xf>
    <xf numFmtId="40" fontId="6" fillId="3" borderId="0">
      <alignment horizontal="left"/>
      <protection/>
    </xf>
    <xf numFmtId="40" fontId="6" fillId="3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40" fontId="0" fillId="0" borderId="0">
      <alignment horizontal="right"/>
      <protection/>
    </xf>
    <xf numFmtId="40" fontId="3" fillId="0" borderId="0">
      <alignment horizontal="left"/>
      <protection/>
    </xf>
    <xf numFmtId="40" fontId="3" fillId="0" borderId="0">
      <alignment horizontal="left"/>
      <protection/>
    </xf>
    <xf numFmtId="40" fontId="3" fillId="0" borderId="2">
      <alignment horizontal="right"/>
      <protection/>
    </xf>
    <xf numFmtId="40" fontId="3" fillId="0" borderId="0">
      <alignment horizontal="left"/>
      <protection/>
    </xf>
    <xf numFmtId="40" fontId="3" fillId="0" borderId="0">
      <alignment horizontal="left"/>
      <protection/>
    </xf>
    <xf numFmtId="40" fontId="3" fillId="0" borderId="3">
      <alignment horizontal="righ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40" fontId="3" fillId="0" borderId="4">
      <alignment horizontal="right"/>
      <protection/>
    </xf>
    <xf numFmtId="0" fontId="3" fillId="4" borderId="0">
      <alignment horizontal="left"/>
      <protection/>
    </xf>
    <xf numFmtId="0" fontId="3" fillId="4" borderId="0">
      <alignment horizontal="left"/>
      <protection/>
    </xf>
    <xf numFmtId="40" fontId="3" fillId="0" borderId="0">
      <alignment horizontal="right"/>
      <protection/>
    </xf>
    <xf numFmtId="0" fontId="10" fillId="2" borderId="0">
      <alignment horizontal="center" vertical="center"/>
      <protection/>
    </xf>
  </cellStyleXfs>
  <cellXfs count="187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5" xfId="0" applyFill="1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0" xfId="18" applyNumberFormat="1" applyFont="1" applyBorder="1"/>
    <xf numFmtId="164" fontId="0" fillId="0" borderId="10" xfId="18" applyNumberFormat="1" applyFont="1" applyBorder="1"/>
    <xf numFmtId="0" fontId="0" fillId="5" borderId="8" xfId="0" applyFill="1" applyBorder="1"/>
    <xf numFmtId="0" fontId="0" fillId="5" borderId="12" xfId="0" applyFill="1" applyBorder="1"/>
    <xf numFmtId="164" fontId="0" fillId="5" borderId="12" xfId="18" applyNumberFormat="1" applyFont="1" applyFill="1" applyBorder="1"/>
    <xf numFmtId="164" fontId="0" fillId="5" borderId="9" xfId="18" applyNumberFormat="1" applyFont="1" applyFill="1" applyBorder="1"/>
    <xf numFmtId="164" fontId="2" fillId="0" borderId="11" xfId="18" applyNumberFormat="1" applyFont="1" applyFill="1" applyBorder="1" applyAlignment="1" applyProtection="1">
      <alignment/>
      <protection hidden="1" locked="0"/>
    </xf>
    <xf numFmtId="164" fontId="2" fillId="0" borderId="11" xfId="18" applyNumberFormat="1" applyFont="1" applyFill="1" applyBorder="1" applyAlignment="1" applyProtection="1">
      <alignment/>
      <protection hidden="1"/>
    </xf>
    <xf numFmtId="164" fontId="2" fillId="0" borderId="13" xfId="18" applyNumberFormat="1" applyFont="1" applyFill="1" applyBorder="1" applyAlignment="1" applyProtection="1">
      <alignment/>
      <protection hidden="1"/>
    </xf>
    <xf numFmtId="164" fontId="2" fillId="0" borderId="14" xfId="18" applyNumberFormat="1" applyFont="1" applyFill="1" applyBorder="1" applyAlignment="1" applyProtection="1">
      <alignment/>
      <protection hidden="1"/>
    </xf>
    <xf numFmtId="164" fontId="0" fillId="0" borderId="14" xfId="18" applyNumberFormat="1" applyFont="1" applyBorder="1"/>
    <xf numFmtId="164" fontId="2" fillId="0" borderId="14" xfId="18" applyNumberFormat="1" applyFont="1" applyFill="1" applyBorder="1" applyAlignment="1" applyProtection="1">
      <alignment/>
      <protection hidden="1" locked="0"/>
    </xf>
    <xf numFmtId="164" fontId="2" fillId="0" borderId="15" xfId="18" applyNumberFormat="1" applyFont="1" applyFill="1" applyBorder="1" applyAlignment="1" applyProtection="1">
      <alignment/>
      <protection hidden="1"/>
    </xf>
    <xf numFmtId="164" fontId="2" fillId="0" borderId="16" xfId="18" applyNumberFormat="1" applyFont="1" applyFill="1" applyBorder="1" applyAlignment="1" applyProtection="1">
      <alignment/>
      <protection hidden="1" locked="0"/>
    </xf>
    <xf numFmtId="164" fontId="2" fillId="0" borderId="16" xfId="18" applyNumberFormat="1" applyFont="1" applyFill="1" applyBorder="1" applyAlignment="1" applyProtection="1">
      <alignment/>
      <protection hidden="1"/>
    </xf>
    <xf numFmtId="164" fontId="2" fillId="0" borderId="17" xfId="18" applyNumberFormat="1" applyFont="1" applyFill="1" applyBorder="1" applyAlignment="1" applyProtection="1">
      <alignment/>
      <protection hidden="1"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0" fillId="0" borderId="6" xfId="18" applyNumberFormat="1" applyFont="1" applyBorder="1"/>
    <xf numFmtId="164" fontId="0" fillId="0" borderId="20" xfId="18" applyNumberFormat="1" applyFont="1" applyBorder="1"/>
    <xf numFmtId="0" fontId="0" fillId="0" borderId="8" xfId="0" applyBorder="1"/>
    <xf numFmtId="164" fontId="2" fillId="0" borderId="6" xfId="18" applyNumberFormat="1" applyFont="1" applyFill="1" applyBorder="1" applyAlignment="1" applyProtection="1">
      <alignment/>
      <protection hidden="1"/>
    </xf>
    <xf numFmtId="164" fontId="2" fillId="0" borderId="21" xfId="18" applyNumberFormat="1" applyFont="1" applyFill="1" applyBorder="1" applyAlignment="1" applyProtection="1">
      <alignment/>
      <protection hidden="1"/>
    </xf>
    <xf numFmtId="164" fontId="2" fillId="0" borderId="20" xfId="18" applyNumberFormat="1" applyFont="1" applyFill="1" applyBorder="1" applyAlignment="1" applyProtection="1">
      <alignment/>
      <protection hidden="1"/>
    </xf>
    <xf numFmtId="14" fontId="3" fillId="0" borderId="11" xfId="0" applyNumberFormat="1" applyFont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6" borderId="11" xfId="18" applyNumberFormat="1" applyFont="1" applyFill="1" applyBorder="1" applyAlignment="1" applyProtection="1">
      <alignment/>
      <protection hidden="1" locked="0"/>
    </xf>
    <xf numFmtId="164" fontId="2" fillId="6" borderId="6" xfId="18" applyNumberFormat="1" applyFont="1" applyFill="1" applyBorder="1" applyAlignment="1" applyProtection="1">
      <alignment/>
      <protection hidden="1" locked="0"/>
    </xf>
    <xf numFmtId="164" fontId="2" fillId="6" borderId="24" xfId="18" applyNumberFormat="1" applyFont="1" applyFill="1" applyBorder="1" applyAlignment="1" applyProtection="1">
      <alignment/>
      <protection hidden="1" locked="0"/>
    </xf>
    <xf numFmtId="164" fontId="2" fillId="6" borderId="21" xfId="18" applyNumberFormat="1" applyFont="1" applyFill="1" applyBorder="1" applyAlignment="1" applyProtection="1">
      <alignment/>
      <protection hidden="1"/>
    </xf>
    <xf numFmtId="164" fontId="2" fillId="6" borderId="20" xfId="18" applyNumberFormat="1" applyFont="1" applyFill="1" applyBorder="1" applyAlignment="1" applyProtection="1">
      <alignment/>
      <protection hidden="1"/>
    </xf>
    <xf numFmtId="164" fontId="2" fillId="6" borderId="25" xfId="18" applyNumberFormat="1" applyFont="1" applyFill="1" applyBorder="1" applyAlignment="1" applyProtection="1">
      <alignment/>
      <protection hidden="1"/>
    </xf>
    <xf numFmtId="164" fontId="2" fillId="6" borderId="11" xfId="18" applyNumberFormat="1" applyFont="1" applyFill="1" applyBorder="1" applyAlignment="1" applyProtection="1">
      <alignment/>
      <protection hidden="1"/>
    </xf>
    <xf numFmtId="164" fontId="2" fillId="6" borderId="5" xfId="18" applyNumberFormat="1" applyFont="1" applyFill="1" applyBorder="1" applyAlignment="1" applyProtection="1">
      <alignment/>
      <protection hidden="1"/>
    </xf>
    <xf numFmtId="164" fontId="2" fillId="6" borderId="26" xfId="18" applyNumberFormat="1" applyFont="1" applyFill="1" applyBorder="1" applyAlignment="1" applyProtection="1">
      <alignment/>
      <protection hidden="1"/>
    </xf>
    <xf numFmtId="164" fontId="2" fillId="6" borderId="16" xfId="18" applyNumberFormat="1" applyFont="1" applyFill="1" applyBorder="1" applyAlignment="1" applyProtection="1">
      <alignment/>
      <protection hidden="1"/>
    </xf>
    <xf numFmtId="164" fontId="2" fillId="6" borderId="14" xfId="18" applyNumberFormat="1" applyFont="1" applyFill="1" applyBorder="1" applyAlignment="1" applyProtection="1">
      <alignment/>
      <protection hidden="1"/>
    </xf>
    <xf numFmtId="164" fontId="2" fillId="6" borderId="27" xfId="18" applyNumberFormat="1" applyFont="1" applyFill="1" applyBorder="1" applyAlignment="1" applyProtection="1">
      <alignment/>
      <protection hidden="1"/>
    </xf>
    <xf numFmtId="164" fontId="2" fillId="6" borderId="9" xfId="18" applyNumberFormat="1" applyFont="1" applyFill="1" applyBorder="1" applyAlignment="1" applyProtection="1">
      <alignment/>
      <protection hidden="1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ont="1"/>
    <xf numFmtId="0" fontId="0" fillId="0" borderId="11" xfId="0" applyFont="1" applyBorder="1"/>
    <xf numFmtId="0" fontId="0" fillId="0" borderId="10" xfId="0" applyFont="1" applyBorder="1"/>
    <xf numFmtId="0" fontId="0" fillId="0" borderId="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0" fillId="0" borderId="13" xfId="18" applyNumberFormat="1" applyFont="1" applyBorder="1"/>
    <xf numFmtId="0" fontId="0" fillId="0" borderId="0" xfId="0" applyFont="1" applyBorder="1"/>
    <xf numFmtId="164" fontId="0" fillId="0" borderId="6" xfId="18" applyNumberFormat="1" applyFont="1" applyBorder="1"/>
    <xf numFmtId="164" fontId="0" fillId="0" borderId="10" xfId="18" applyNumberFormat="1" applyFont="1" applyBorder="1"/>
    <xf numFmtId="164" fontId="0" fillId="6" borderId="14" xfId="18" applyNumberFormat="1" applyFont="1" applyFill="1" applyBorder="1"/>
    <xf numFmtId="164" fontId="0" fillId="6" borderId="10" xfId="18" applyNumberFormat="1" applyFont="1" applyFill="1" applyBorder="1"/>
    <xf numFmtId="0" fontId="0" fillId="0" borderId="0" xfId="0" applyFont="1" applyFill="1"/>
    <xf numFmtId="164" fontId="0" fillId="0" borderId="14" xfId="18" applyNumberFormat="1" applyFont="1" applyBorder="1"/>
    <xf numFmtId="164" fontId="0" fillId="0" borderId="20" xfId="18" applyNumberFormat="1" applyFont="1" applyBorder="1"/>
    <xf numFmtId="164" fontId="0" fillId="0" borderId="30" xfId="18" applyNumberFormat="1" applyFont="1" applyBorder="1"/>
    <xf numFmtId="0" fontId="0" fillId="0" borderId="0" xfId="0" applyFont="1" applyFill="1" applyBorder="1"/>
    <xf numFmtId="0" fontId="2" fillId="6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6" fillId="6" borderId="0" xfId="0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0" fontId="4" fillId="0" borderId="0" xfId="0" applyFont="1" applyBorder="1"/>
    <xf numFmtId="164" fontId="2" fillId="0" borderId="0" xfId="0" applyNumberFormat="1" applyFont="1" applyBorder="1" applyProtection="1">
      <protection hidden="1" locked="0"/>
    </xf>
    <xf numFmtId="0" fontId="6" fillId="0" borderId="10" xfId="0" applyFont="1" applyFill="1" applyBorder="1" applyAlignment="1" applyProtection="1">
      <alignment/>
      <protection hidden="1" locked="0"/>
    </xf>
    <xf numFmtId="0" fontId="2" fillId="6" borderId="10" xfId="0" applyFont="1" applyFill="1" applyBorder="1" applyAlignment="1" applyProtection="1">
      <alignment/>
      <protection hidden="1" locked="0"/>
    </xf>
    <xf numFmtId="0" fontId="3" fillId="0" borderId="0" xfId="0" applyFont="1" applyBorder="1"/>
    <xf numFmtId="164" fontId="2" fillId="6" borderId="17" xfId="18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9" xfId="0" applyFont="1" applyBorder="1" applyAlignment="1">
      <alignment horizontal="center"/>
    </xf>
    <xf numFmtId="164" fontId="0" fillId="0" borderId="31" xfId="18" applyNumberFormat="1" applyFont="1" applyBorder="1"/>
    <xf numFmtId="9" fontId="0" fillId="0" borderId="32" xfId="15" applyFont="1" applyBorder="1"/>
    <xf numFmtId="164" fontId="0" fillId="0" borderId="32" xfId="18" applyNumberFormat="1" applyFont="1" applyBorder="1"/>
    <xf numFmtId="164" fontId="0" fillId="6" borderId="32" xfId="18" applyNumberFormat="1" applyFont="1" applyFill="1" applyBorder="1"/>
    <xf numFmtId="164" fontId="0" fillId="0" borderId="32" xfId="18" applyNumberFormat="1" applyFont="1" applyBorder="1"/>
    <xf numFmtId="164" fontId="0" fillId="0" borderId="33" xfId="18" applyNumberFormat="1" applyFont="1" applyBorder="1"/>
    <xf numFmtId="0" fontId="0" fillId="5" borderId="12" xfId="0" applyFont="1" applyFill="1" applyBorder="1"/>
    <xf numFmtId="164" fontId="0" fillId="0" borderId="0" xfId="18" applyNumberFormat="1" applyFont="1"/>
    <xf numFmtId="0" fontId="0" fillId="0" borderId="0" xfId="0" applyFont="1" applyAlignment="1">
      <alignment horizontal="right"/>
    </xf>
    <xf numFmtId="9" fontId="0" fillId="0" borderId="0" xfId="0" applyNumberFormat="1" applyFont="1"/>
    <xf numFmtId="0" fontId="0" fillId="0" borderId="0" xfId="23" applyFont="1" applyFill="1" applyBorder="1" applyAlignment="1">
      <alignment horizontal="left"/>
      <protection/>
    </xf>
    <xf numFmtId="164" fontId="0" fillId="0" borderId="0" xfId="18" applyNumberFormat="1" applyFont="1" applyFill="1"/>
    <xf numFmtId="164" fontId="0" fillId="0" borderId="0" xfId="18" applyNumberFormat="1" applyFont="1" applyFill="1" applyBorder="1"/>
    <xf numFmtId="40" fontId="3" fillId="0" borderId="0" xfId="21" applyFont="1" applyFill="1" applyBorder="1">
      <alignment/>
      <protection/>
    </xf>
    <xf numFmtId="164" fontId="0" fillId="0" borderId="1" xfId="18" applyNumberFormat="1" applyFont="1" applyFill="1" applyBorder="1"/>
    <xf numFmtId="9" fontId="0" fillId="0" borderId="0" xfId="15" applyFont="1" applyFill="1"/>
    <xf numFmtId="164" fontId="0" fillId="0" borderId="0" xfId="18" applyNumberFormat="1" applyFont="1" applyFill="1" applyBorder="1" applyAlignment="1">
      <alignment horizontal="right"/>
    </xf>
    <xf numFmtId="164" fontId="0" fillId="0" borderId="3" xfId="18" applyNumberFormat="1" applyFont="1" applyFill="1" applyBorder="1" applyAlignment="1">
      <alignment horizontal="right"/>
    </xf>
    <xf numFmtId="0" fontId="3" fillId="0" borderId="1" xfId="18" applyNumberFormat="1" applyFont="1" applyFill="1" applyBorder="1" applyAlignment="1">
      <alignment horizontal="center" vertical="center"/>
    </xf>
    <xf numFmtId="165" fontId="0" fillId="0" borderId="1" xfId="15" applyNumberFormat="1" applyFont="1" applyFill="1" applyBorder="1"/>
    <xf numFmtId="165" fontId="0" fillId="0" borderId="0" xfId="15" applyNumberFormat="1" applyFont="1" applyFill="1"/>
    <xf numFmtId="165" fontId="0" fillId="0" borderId="3" xfId="15" applyNumberFormat="1" applyFont="1" applyFill="1" applyBorder="1"/>
    <xf numFmtId="9" fontId="0" fillId="0" borderId="0" xfId="15" applyNumberFormat="1" applyFont="1" applyFill="1"/>
    <xf numFmtId="9" fontId="0" fillId="0" borderId="0" xfId="0" applyNumberFormat="1" applyFont="1" applyFill="1"/>
    <xf numFmtId="0" fontId="3" fillId="0" borderId="2" xfId="0" applyFont="1" applyFill="1" applyBorder="1"/>
    <xf numFmtId="9" fontId="0" fillId="7" borderId="0" xfId="15" applyNumberFormat="1" applyFont="1" applyFill="1"/>
    <xf numFmtId="0" fontId="0" fillId="7" borderId="0" xfId="0" applyFont="1" applyFill="1"/>
    <xf numFmtId="0" fontId="0" fillId="8" borderId="0" xfId="0" applyFont="1" applyFill="1"/>
    <xf numFmtId="9" fontId="0" fillId="8" borderId="0" xfId="15" applyFont="1" applyFill="1"/>
    <xf numFmtId="0" fontId="0" fillId="9" borderId="0" xfId="0" applyFont="1" applyFill="1"/>
    <xf numFmtId="9" fontId="0" fillId="9" borderId="0" xfId="15" applyFont="1" applyFill="1"/>
    <xf numFmtId="0" fontId="0" fillId="10" borderId="0" xfId="0" applyFont="1" applyFill="1"/>
    <xf numFmtId="0" fontId="0" fillId="7" borderId="11" xfId="0" applyFont="1" applyFill="1" applyBorder="1"/>
    <xf numFmtId="0" fontId="0" fillId="7" borderId="8" xfId="0" applyFont="1" applyFill="1" applyBorder="1"/>
    <xf numFmtId="0" fontId="0" fillId="7" borderId="0" xfId="0" applyFill="1" applyBorder="1"/>
    <xf numFmtId="9" fontId="0" fillId="7" borderId="0" xfId="15" applyFont="1" applyFill="1" applyBorder="1"/>
    <xf numFmtId="9" fontId="0" fillId="7" borderId="10" xfId="15" applyFont="1" applyFill="1" applyBorder="1"/>
    <xf numFmtId="9" fontId="0" fillId="7" borderId="12" xfId="15" applyFont="1" applyFill="1" applyBorder="1"/>
    <xf numFmtId="9" fontId="0" fillId="7" borderId="9" xfId="15" applyFont="1" applyFill="1" applyBorder="1"/>
    <xf numFmtId="164" fontId="0" fillId="7" borderId="34" xfId="18" applyNumberFormat="1" applyFont="1" applyFill="1" applyBorder="1"/>
    <xf numFmtId="164" fontId="0" fillId="7" borderId="35" xfId="18" applyNumberFormat="1" applyFont="1" applyFill="1" applyBorder="1"/>
    <xf numFmtId="0" fontId="0" fillId="7" borderId="36" xfId="0" applyFill="1" applyBorder="1"/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horizontal="left" indent="2"/>
    </xf>
    <xf numFmtId="9" fontId="0" fillId="0" borderId="0" xfId="0" applyNumberFormat="1"/>
    <xf numFmtId="166" fontId="0" fillId="0" borderId="0" xfId="16" applyNumberFormat="1" applyFont="1"/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ill="1" applyBorder="1"/>
    <xf numFmtId="164" fontId="0" fillId="11" borderId="0" xfId="18" applyNumberFormat="1" applyFont="1" applyFill="1"/>
    <xf numFmtId="164" fontId="0" fillId="11" borderId="0" xfId="18" applyNumberFormat="1" applyFont="1" applyFill="1" applyAlignment="1">
      <alignment horizontal="right"/>
    </xf>
    <xf numFmtId="9" fontId="0" fillId="11" borderId="1" xfId="15" applyFont="1" applyFill="1" applyBorder="1"/>
    <xf numFmtId="164" fontId="0" fillId="0" borderId="0" xfId="0" applyNumberFormat="1" applyFont="1" applyFill="1"/>
    <xf numFmtId="167" fontId="0" fillId="0" borderId="0" xfId="0" applyNumberFormat="1" applyFont="1" applyFill="1"/>
    <xf numFmtId="164" fontId="0" fillId="10" borderId="0" xfId="18" applyNumberFormat="1" applyFont="1" applyFill="1"/>
    <xf numFmtId="0" fontId="0" fillId="12" borderId="0" xfId="0" applyFont="1" applyFill="1"/>
    <xf numFmtId="164" fontId="0" fillId="12" borderId="0" xfId="18" applyNumberFormat="1" applyFont="1" applyFill="1"/>
    <xf numFmtId="0" fontId="0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left" indent="1"/>
      <protection hidden="1" locked="0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0" fillId="13" borderId="0" xfId="0" applyFont="1" applyFill="1"/>
    <xf numFmtId="164" fontId="0" fillId="13" borderId="0" xfId="18" applyNumberFormat="1" applyFont="1" applyFill="1"/>
    <xf numFmtId="0" fontId="0" fillId="0" borderId="0" xfId="0" applyFont="1" applyAlignment="1">
      <alignment horizontal="center"/>
    </xf>
    <xf numFmtId="164" fontId="0" fillId="0" borderId="0" xfId="18" applyNumberFormat="1" applyFont="1"/>
    <xf numFmtId="164" fontId="0" fillId="0" borderId="0" xfId="18" applyNumberFormat="1" applyFont="1" applyFill="1" applyBorder="1"/>
    <xf numFmtId="0" fontId="0" fillId="0" borderId="0" xfId="0" applyFill="1"/>
    <xf numFmtId="164" fontId="2" fillId="6" borderId="37" xfId="18" applyNumberFormat="1" applyFont="1" applyFill="1" applyBorder="1" applyAlignment="1" applyProtection="1">
      <alignment/>
      <protection hidden="1"/>
    </xf>
    <xf numFmtId="164" fontId="2" fillId="0" borderId="23" xfId="18" applyNumberFormat="1" applyFont="1" applyFill="1" applyBorder="1" applyAlignment="1" applyProtection="1">
      <alignment/>
      <protection hidden="1"/>
    </xf>
    <xf numFmtId="164" fontId="2" fillId="0" borderId="37" xfId="18" applyNumberFormat="1" applyFont="1" applyFill="1" applyBorder="1" applyAlignment="1" applyProtection="1">
      <alignment/>
      <protection hidden="1"/>
    </xf>
    <xf numFmtId="164" fontId="2" fillId="6" borderId="8" xfId="18" applyNumberFormat="1" applyFont="1" applyFill="1" applyBorder="1" applyAlignment="1" applyProtection="1">
      <alignment/>
      <protection hidden="1"/>
    </xf>
    <xf numFmtId="0" fontId="3" fillId="0" borderId="38" xfId="0" applyFont="1" applyBorder="1" applyAlignment="1">
      <alignment horizontal="center"/>
    </xf>
    <xf numFmtId="14" fontId="3" fillId="0" borderId="39" xfId="0" applyNumberFormat="1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4" fontId="2" fillId="6" borderId="39" xfId="18" applyNumberFormat="1" applyFont="1" applyFill="1" applyBorder="1" applyAlignment="1" applyProtection="1">
      <alignment/>
      <protection hidden="1" locked="0"/>
    </xf>
    <xf numFmtId="164" fontId="2" fillId="6" borderId="39" xfId="18" applyNumberFormat="1" applyFont="1" applyFill="1" applyBorder="1" applyAlignment="1" applyProtection="1">
      <alignment/>
      <protection hidden="1"/>
    </xf>
    <xf numFmtId="164" fontId="2" fillId="0" borderId="39" xfId="18" applyNumberFormat="1" applyFont="1" applyFill="1" applyBorder="1" applyAlignment="1" applyProtection="1">
      <alignment/>
      <protection hidden="1" locked="0"/>
    </xf>
    <xf numFmtId="164" fontId="2" fillId="0" borderId="39" xfId="18" applyNumberFormat="1" applyFont="1" applyFill="1" applyBorder="1" applyAlignment="1" applyProtection="1">
      <alignment/>
      <protection hidden="1"/>
    </xf>
    <xf numFmtId="164" fontId="2" fillId="6" borderId="41" xfId="18" applyNumberFormat="1" applyFont="1" applyFill="1" applyBorder="1" applyAlignment="1" applyProtection="1">
      <alignment/>
      <protection hidden="1"/>
    </xf>
    <xf numFmtId="164" fontId="2" fillId="0" borderId="42" xfId="18" applyNumberFormat="1" applyFont="1" applyFill="1" applyBorder="1" applyAlignment="1" applyProtection="1">
      <alignment/>
      <protection hidden="1"/>
    </xf>
    <xf numFmtId="164" fontId="2" fillId="0" borderId="43" xfId="18" applyNumberFormat="1" applyFont="1" applyFill="1" applyBorder="1" applyAlignment="1" applyProtection="1">
      <alignment/>
      <protection hidden="1"/>
    </xf>
    <xf numFmtId="164" fontId="2" fillId="6" borderId="44" xfId="18" applyNumberFormat="1" applyFont="1" applyFill="1" applyBorder="1" applyAlignment="1" applyProtection="1">
      <alignment/>
      <protection hidden="1"/>
    </xf>
    <xf numFmtId="164" fontId="2" fillId="0" borderId="44" xfId="18" applyNumberFormat="1" applyFont="1" applyFill="1" applyBorder="1" applyAlignment="1" applyProtection="1">
      <alignment/>
      <protection hidden="1"/>
    </xf>
    <xf numFmtId="164" fontId="2" fillId="0" borderId="44" xfId="18" applyNumberFormat="1" applyFont="1" applyFill="1" applyBorder="1" applyAlignment="1" applyProtection="1">
      <alignment/>
      <protection hidden="1" locked="0"/>
    </xf>
    <xf numFmtId="164" fontId="2" fillId="0" borderId="41" xfId="18" applyNumberFormat="1" applyFont="1" applyFill="1" applyBorder="1" applyAlignment="1" applyProtection="1">
      <alignment/>
      <protection hidden="1"/>
    </xf>
    <xf numFmtId="164" fontId="2" fillId="6" borderId="45" xfId="18" applyNumberFormat="1" applyFont="1" applyFill="1" applyBorder="1" applyAlignment="1" applyProtection="1">
      <alignment/>
      <protection hidden="1"/>
    </xf>
    <xf numFmtId="166" fontId="0" fillId="0" borderId="1" xfId="16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0" fontId="0" fillId="0" borderId="0" xfId="31" applyFont="1" applyFill="1" applyBorder="1" applyAlignment="1">
      <alignment horizontal="left" indent="1"/>
      <protection/>
    </xf>
    <xf numFmtId="0" fontId="3" fillId="0" borderId="0" xfId="37" applyFont="1" applyFill="1" applyBorder="1" applyAlignment="1">
      <alignment horizontal="left"/>
      <protection/>
    </xf>
    <xf numFmtId="0" fontId="0" fillId="7" borderId="23" xfId="0" applyFill="1" applyBorder="1"/>
    <xf numFmtId="164" fontId="0" fillId="7" borderId="46" xfId="18" applyNumberFormat="1" applyFont="1" applyFill="1" applyBorder="1"/>
    <xf numFmtId="164" fontId="0" fillId="7" borderId="7" xfId="18" applyNumberFormat="1" applyFont="1" applyFill="1" applyBorder="1"/>
    <xf numFmtId="0" fontId="0" fillId="7" borderId="11" xfId="0" applyFill="1" applyBorder="1"/>
    <xf numFmtId="0" fontId="0" fillId="7" borderId="10" xfId="0" applyFill="1" applyBorder="1"/>
    <xf numFmtId="0" fontId="0" fillId="0" borderId="1" xfId="0" applyFont="1" applyBorder="1"/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roupSectionHeaderRowNameCol" xfId="20"/>
    <cellStyle name="GroupSectionHeaderRowDescCol" xfId="21"/>
    <cellStyle name="AccountClassificationTotalRowNameCol" xfId="22"/>
    <cellStyle name="AccountClassificationTotalRowDescCol" xfId="23"/>
    <cellStyle name="AccountClassificationTotalRowBalanceCol" xfId="24"/>
    <cellStyle name="SubgroupSectionHeaderRowNameCol" xfId="25"/>
    <cellStyle name="SubgroupSectionHeaderRowDescCol" xfId="26"/>
    <cellStyle name="AccountDetailRowNameCol" xfId="27"/>
    <cellStyle name="AccountDetailRowDescCol" xfId="28"/>
    <cellStyle name="AccountDetailRowBalanceCol" xfId="29"/>
    <cellStyle name="SubgroupSubtotalRowNameCol" xfId="30"/>
    <cellStyle name="SubgroupSubtotalRowDescCol" xfId="31"/>
    <cellStyle name="SubgroupSubtotalRowBalanceCol" xfId="32"/>
    <cellStyle name="UnclassifiedTotalRowNameCol" xfId="33"/>
    <cellStyle name="UnclassifiedTotalRowDescCol" xfId="34"/>
    <cellStyle name="UnclassifiedTotalRowBalanceCol" xfId="35"/>
    <cellStyle name="NetIncomeLossRowNameCol" xfId="36"/>
    <cellStyle name="NetIncomeLossRowDescCol" xfId="37"/>
    <cellStyle name="NetIncomeLossRowBalanceCol" xfId="38"/>
    <cellStyle name="SumAccountGroupsRowNameCol" xfId="39"/>
    <cellStyle name="SumAccountGroupsRowDescCol" xfId="40"/>
    <cellStyle name="SumAccountGroupsRowBalanceCol" xfId="41"/>
    <cellStyle name="ColumnHeaderRowBalanceCol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39"/>
  <sheetViews>
    <sheetView tabSelected="1" zoomScale="85" zoomScaleNormal="85" workbookViewId="0" topLeftCell="A1">
      <selection activeCell="B7" sqref="B7"/>
    </sheetView>
  </sheetViews>
  <sheetFormatPr defaultColWidth="8.8515625" defaultRowHeight="12.75"/>
  <cols>
    <col min="1" max="1" width="32.00390625" style="75" bestFit="1" customWidth="1"/>
    <col min="2" max="5" width="11.00390625" style="102" customWidth="1"/>
    <col min="6" max="6" width="2.140625" style="101" customWidth="1"/>
    <col min="7" max="7" width="8.140625" style="112" customWidth="1"/>
    <col min="8" max="10" width="8.140625" style="113" customWidth="1"/>
    <col min="11" max="11" width="4.8515625" style="71" customWidth="1"/>
    <col min="12" max="12" width="10.421875" style="71" bestFit="1" customWidth="1"/>
    <col min="13" max="13" width="18.00390625" style="71" bestFit="1" customWidth="1"/>
    <col min="14" max="14" width="15.00390625" style="71" bestFit="1" customWidth="1"/>
    <col min="15" max="16384" width="8.8515625" style="71" customWidth="1"/>
  </cols>
  <sheetData>
    <row r="4" spans="2:10" ht="12.75">
      <c r="B4" s="104"/>
      <c r="C4" s="104"/>
      <c r="D4" s="104"/>
      <c r="E4" s="104"/>
      <c r="G4" s="104"/>
      <c r="H4" s="104"/>
      <c r="I4" s="104"/>
      <c r="J4" s="104"/>
    </row>
    <row r="5" spans="2:14" ht="13">
      <c r="B5" s="108">
        <v>2019</v>
      </c>
      <c r="C5" s="108">
        <v>2018</v>
      </c>
      <c r="D5" s="108">
        <v>2017</v>
      </c>
      <c r="E5" s="108">
        <v>2016</v>
      </c>
      <c r="G5" s="108">
        <v>2019</v>
      </c>
      <c r="H5" s="108">
        <v>2018</v>
      </c>
      <c r="I5" s="108">
        <v>2017</v>
      </c>
      <c r="J5" s="108">
        <v>2016</v>
      </c>
      <c r="L5" s="114" t="s">
        <v>96</v>
      </c>
      <c r="N5" s="114" t="s">
        <v>126</v>
      </c>
    </row>
    <row r="6" ht="13">
      <c r="A6" s="103" t="s">
        <v>69</v>
      </c>
    </row>
    <row r="7" spans="1:12" ht="12.75">
      <c r="A7" s="177" t="s">
        <v>70</v>
      </c>
      <c r="B7" s="106">
        <v>7532213.61</v>
      </c>
      <c r="C7" s="106">
        <v>7413462.03</v>
      </c>
      <c r="D7" s="106">
        <v>7402659.99</v>
      </c>
      <c r="E7" s="106">
        <v>6656624</v>
      </c>
      <c r="G7" s="110">
        <f>+B7/B7</f>
        <v>1</v>
      </c>
      <c r="H7" s="110">
        <f aca="true" t="shared" si="0" ref="H7:J7">+C7/C7</f>
        <v>1</v>
      </c>
      <c r="I7" s="110">
        <f t="shared" si="0"/>
        <v>1</v>
      </c>
      <c r="J7" s="110">
        <f t="shared" si="0"/>
        <v>1</v>
      </c>
      <c r="L7" s="105"/>
    </row>
    <row r="8" spans="7:12" ht="12.75">
      <c r="G8" s="110"/>
      <c r="H8" s="110"/>
      <c r="I8" s="110"/>
      <c r="J8" s="110"/>
      <c r="L8" s="105"/>
    </row>
    <row r="9" spans="1:18" ht="13">
      <c r="A9" s="103" t="s">
        <v>77</v>
      </c>
      <c r="G9" s="110"/>
      <c r="H9" s="110"/>
      <c r="I9" s="110"/>
      <c r="J9" s="110"/>
      <c r="L9" s="105"/>
      <c r="P9" s="143"/>
      <c r="Q9" s="143"/>
      <c r="R9" s="143"/>
    </row>
    <row r="10" spans="1:14" ht="12.75">
      <c r="A10" s="177" t="s">
        <v>95</v>
      </c>
      <c r="B10" s="106">
        <v>4194737.64</v>
      </c>
      <c r="C10" s="106">
        <v>4434633.96</v>
      </c>
      <c r="D10" s="106">
        <v>4473303.62</v>
      </c>
      <c r="E10" s="106">
        <v>3830323</v>
      </c>
      <c r="G10" s="110">
        <f>+B10/B$7</f>
        <v>0.5569063567755084</v>
      </c>
      <c r="H10" s="110">
        <f aca="true" t="shared" si="1" ref="H10:J26">+C10/C$7</f>
        <v>0.5981866423614771</v>
      </c>
      <c r="I10" s="110">
        <f t="shared" si="1"/>
        <v>0.6042832746665162</v>
      </c>
      <c r="J10" s="110">
        <f t="shared" si="1"/>
        <v>0.5754152555409469</v>
      </c>
      <c r="K10" s="119"/>
      <c r="L10" s="120">
        <v>0.56</v>
      </c>
      <c r="M10" s="71" t="s">
        <v>71</v>
      </c>
      <c r="N10" s="71" t="s">
        <v>127</v>
      </c>
    </row>
    <row r="11" spans="1:14" ht="12.75">
      <c r="A11" s="177" t="s">
        <v>72</v>
      </c>
      <c r="B11" s="106">
        <v>29832.03</v>
      </c>
      <c r="C11" s="106">
        <v>36067.21</v>
      </c>
      <c r="D11" s="106">
        <v>43697.24</v>
      </c>
      <c r="E11" s="106">
        <v>35674</v>
      </c>
      <c r="G11" s="110">
        <f aca="true" t="shared" si="2" ref="G11:G34">+B11/B$7</f>
        <v>0.003960592668321842</v>
      </c>
      <c r="H11" s="110">
        <f t="shared" si="1"/>
        <v>0.004865096746168942</v>
      </c>
      <c r="I11" s="110">
        <f t="shared" si="1"/>
        <v>0.005902910583361806</v>
      </c>
      <c r="J11" s="110">
        <f t="shared" si="1"/>
        <v>0.005359173058295016</v>
      </c>
      <c r="K11" s="119"/>
      <c r="L11" s="105"/>
      <c r="N11" s="71" t="s">
        <v>127</v>
      </c>
    </row>
    <row r="12" spans="1:14" ht="12.75">
      <c r="A12" s="177" t="s">
        <v>117</v>
      </c>
      <c r="B12" s="106">
        <v>597645.98</v>
      </c>
      <c r="C12" s="106">
        <v>533605.01</v>
      </c>
      <c r="D12" s="106">
        <v>493932.43</v>
      </c>
      <c r="E12" s="106">
        <v>430934</v>
      </c>
      <c r="G12" s="110">
        <f aca="true" t="shared" si="3" ref="G12:G13">+B12/B$7</f>
        <v>0.0793453307280806</v>
      </c>
      <c r="H12" s="110">
        <f aca="true" t="shared" si="4" ref="H12:H13">+C12/C$7</f>
        <v>0.07197784352852482</v>
      </c>
      <c r="I12" s="110">
        <f aca="true" t="shared" si="5" ref="I12:I13">+D12/D$7</f>
        <v>0.06672364132180006</v>
      </c>
      <c r="J12" s="110">
        <f aca="true" t="shared" si="6" ref="J12:J13">+E12/E$7</f>
        <v>0.06473762075190066</v>
      </c>
      <c r="K12" s="116"/>
      <c r="L12" s="115">
        <f>ROUND(G12+G13,2)</f>
        <v>0.08</v>
      </c>
      <c r="M12" s="71" t="s">
        <v>120</v>
      </c>
      <c r="N12" s="71" t="s">
        <v>127</v>
      </c>
    </row>
    <row r="13" spans="1:14" ht="12.75">
      <c r="A13" s="177" t="s">
        <v>118</v>
      </c>
      <c r="B13" s="106">
        <v>36231.61</v>
      </c>
      <c r="C13" s="106">
        <v>30479.58</v>
      </c>
      <c r="D13" s="106">
        <v>36336</v>
      </c>
      <c r="E13" s="106">
        <f>+E12*0.06</f>
        <v>25856.039999999997</v>
      </c>
      <c r="G13" s="110">
        <f t="shared" si="3"/>
        <v>0.004810220723413605</v>
      </c>
      <c r="H13" s="110">
        <f t="shared" si="4"/>
        <v>0.0041113827624203805</v>
      </c>
      <c r="I13" s="110">
        <f t="shared" si="5"/>
        <v>0.0049085058680373075</v>
      </c>
      <c r="J13" s="110">
        <f t="shared" si="6"/>
        <v>0.003884257245114039</v>
      </c>
      <c r="K13" s="116"/>
      <c r="L13" s="105"/>
      <c r="N13" s="71" t="s">
        <v>127</v>
      </c>
    </row>
    <row r="14" spans="1:16" ht="12.75">
      <c r="A14" s="177" t="s">
        <v>94</v>
      </c>
      <c r="B14" s="106">
        <f>1930387.49-B12</f>
        <v>1332741.51</v>
      </c>
      <c r="C14" s="106">
        <f>1840978-C12</f>
        <v>1307372.99</v>
      </c>
      <c r="D14" s="106">
        <f>1927035-D12</f>
        <v>1433102.57</v>
      </c>
      <c r="E14" s="106">
        <f>1606756-E12</f>
        <v>1175822</v>
      </c>
      <c r="G14" s="110">
        <f t="shared" si="2"/>
        <v>0.17693888928357143</v>
      </c>
      <c r="H14" s="110">
        <f t="shared" si="1"/>
        <v>0.176351208748283</v>
      </c>
      <c r="I14" s="110">
        <f t="shared" si="1"/>
        <v>0.19359292091436447</v>
      </c>
      <c r="J14" s="110">
        <f t="shared" si="1"/>
        <v>0.17663938957645797</v>
      </c>
      <c r="K14" s="145"/>
      <c r="L14" s="146">
        <f>ROUNDUP((B14+B15)/26,-3)</f>
        <v>55000</v>
      </c>
      <c r="M14" s="71" t="s">
        <v>119</v>
      </c>
      <c r="N14" s="71" t="s">
        <v>128</v>
      </c>
      <c r="P14" s="110"/>
    </row>
    <row r="15" spans="1:14" ht="12.75">
      <c r="A15" s="177" t="s">
        <v>73</v>
      </c>
      <c r="B15" s="106">
        <f>133234.5-B13</f>
        <v>97002.89</v>
      </c>
      <c r="C15" s="106">
        <f>128328-C13</f>
        <v>97848.42</v>
      </c>
      <c r="D15" s="106">
        <f>130106-D13</f>
        <v>93770</v>
      </c>
      <c r="E15" s="106">
        <f>113359-E13</f>
        <v>87502.96</v>
      </c>
      <c r="G15" s="110">
        <f>+B15/B$7</f>
        <v>0.012878404015416657</v>
      </c>
      <c r="H15" s="110">
        <f>+C15/C$7</f>
        <v>0.01319874838557715</v>
      </c>
      <c r="I15" s="110">
        <f>+D15/D$7</f>
        <v>0.012667068341200417</v>
      </c>
      <c r="J15" s="110">
        <f>+E15/E$7</f>
        <v>0.01314524599857225</v>
      </c>
      <c r="K15" s="145"/>
      <c r="N15" s="71" t="s">
        <v>128</v>
      </c>
    </row>
    <row r="16" spans="1:18" ht="12.75">
      <c r="A16" s="177" t="s">
        <v>74</v>
      </c>
      <c r="B16" s="106">
        <v>294935.22000000003</v>
      </c>
      <c r="C16" s="106">
        <v>301200.92</v>
      </c>
      <c r="D16" s="106">
        <v>265624.48</v>
      </c>
      <c r="E16" s="106">
        <v>282803</v>
      </c>
      <c r="G16" s="110">
        <f t="shared" si="2"/>
        <v>0.0391565129815802</v>
      </c>
      <c r="H16" s="110">
        <f t="shared" si="1"/>
        <v>0.04062891517905299</v>
      </c>
      <c r="I16" s="110">
        <f t="shared" si="1"/>
        <v>0.03588230181567477</v>
      </c>
      <c r="J16" s="110">
        <f t="shared" si="1"/>
        <v>0.04248444857333086</v>
      </c>
      <c r="K16" s="121"/>
      <c r="L16" s="144">
        <f>ROUNDUP(B16/12,-3)</f>
        <v>25000</v>
      </c>
      <c r="M16" s="71" t="s">
        <v>7</v>
      </c>
      <c r="N16" s="71" t="s">
        <v>128</v>
      </c>
      <c r="O16" s="105"/>
      <c r="P16" s="105"/>
      <c r="Q16" s="105"/>
      <c r="R16" s="105"/>
    </row>
    <row r="17" spans="1:14" ht="12.75">
      <c r="A17" s="177" t="s">
        <v>78</v>
      </c>
      <c r="B17" s="106">
        <v>15960.02</v>
      </c>
      <c r="C17" s="106">
        <v>13367.54</v>
      </c>
      <c r="D17" s="106">
        <v>18560.38</v>
      </c>
      <c r="E17" s="106">
        <v>17285</v>
      </c>
      <c r="G17" s="110">
        <f t="shared" si="2"/>
        <v>0.0021189016703948736</v>
      </c>
      <c r="H17" s="110">
        <f t="shared" si="1"/>
        <v>0.0018031440568395277</v>
      </c>
      <c r="I17" s="110">
        <f t="shared" si="1"/>
        <v>0.002507258205168491</v>
      </c>
      <c r="J17" s="110">
        <f t="shared" si="1"/>
        <v>0.002596661611050887</v>
      </c>
      <c r="K17" s="117"/>
      <c r="L17" s="105"/>
      <c r="N17" s="71" t="s">
        <v>127</v>
      </c>
    </row>
    <row r="18" spans="1:14" ht="12.75">
      <c r="A18" s="177" t="s">
        <v>79</v>
      </c>
      <c r="B18" s="106">
        <v>142771.99</v>
      </c>
      <c r="C18" s="106">
        <v>142495.19</v>
      </c>
      <c r="D18" s="106">
        <v>158375.87</v>
      </c>
      <c r="E18" s="106">
        <v>132036</v>
      </c>
      <c r="G18" s="110">
        <f t="shared" si="2"/>
        <v>0.018954851441075896</v>
      </c>
      <c r="H18" s="110">
        <f t="shared" si="1"/>
        <v>0.019221139789124948</v>
      </c>
      <c r="I18" s="110">
        <f t="shared" si="1"/>
        <v>0.0213944541845694</v>
      </c>
      <c r="J18" s="110">
        <f t="shared" si="1"/>
        <v>0.019835279865589524</v>
      </c>
      <c r="K18" s="117"/>
      <c r="L18" s="105"/>
      <c r="N18" s="71" t="s">
        <v>127</v>
      </c>
    </row>
    <row r="19" spans="1:14" ht="12.75">
      <c r="A19" s="177" t="s">
        <v>80</v>
      </c>
      <c r="B19" s="106">
        <v>49514.64</v>
      </c>
      <c r="C19" s="106">
        <v>44606.96</v>
      </c>
      <c r="D19" s="106">
        <v>49360.5</v>
      </c>
      <c r="E19" s="106">
        <v>46135</v>
      </c>
      <c r="G19" s="110">
        <f t="shared" si="2"/>
        <v>0.006573716912948781</v>
      </c>
      <c r="H19" s="110">
        <f t="shared" si="1"/>
        <v>0.006017021442814349</v>
      </c>
      <c r="I19" s="110">
        <f t="shared" si="1"/>
        <v>0.006667940992383739</v>
      </c>
      <c r="J19" s="110">
        <f t="shared" si="1"/>
        <v>0.006930690392006519</v>
      </c>
      <c r="K19" s="117"/>
      <c r="L19" s="105"/>
      <c r="N19" s="71" t="s">
        <v>127</v>
      </c>
    </row>
    <row r="20" spans="1:14" ht="12.75">
      <c r="A20" s="177" t="s">
        <v>81</v>
      </c>
      <c r="B20" s="106">
        <v>59723.44</v>
      </c>
      <c r="C20" s="106">
        <v>93958.32</v>
      </c>
      <c r="D20" s="106">
        <v>76269.69</v>
      </c>
      <c r="E20" s="106">
        <v>51249</v>
      </c>
      <c r="G20" s="110">
        <f t="shared" si="2"/>
        <v>0.007929068809295227</v>
      </c>
      <c r="H20" s="110">
        <f t="shared" si="1"/>
        <v>0.012674013790018698</v>
      </c>
      <c r="I20" s="110">
        <f t="shared" si="1"/>
        <v>0.010303011363892185</v>
      </c>
      <c r="J20" s="110">
        <f t="shared" si="1"/>
        <v>0.007698947694807458</v>
      </c>
      <c r="K20" s="117"/>
      <c r="L20" s="105"/>
      <c r="N20" s="71" t="s">
        <v>127</v>
      </c>
    </row>
    <row r="21" spans="1:14" ht="12.75">
      <c r="A21" s="177" t="s">
        <v>8</v>
      </c>
      <c r="B21" s="106">
        <v>66390.3</v>
      </c>
      <c r="C21" s="106">
        <v>72189.98999999999</v>
      </c>
      <c r="D21" s="106">
        <v>67413.06</v>
      </c>
      <c r="E21" s="106">
        <v>69050</v>
      </c>
      <c r="G21" s="110">
        <f t="shared" si="2"/>
        <v>0.008814181784735656</v>
      </c>
      <c r="H21" s="110">
        <f t="shared" si="1"/>
        <v>0.00973768931544659</v>
      </c>
      <c r="I21" s="110">
        <f t="shared" si="1"/>
        <v>0.009106599531933926</v>
      </c>
      <c r="J21" s="110">
        <f t="shared" si="1"/>
        <v>0.010373126077122577</v>
      </c>
      <c r="K21" s="150"/>
      <c r="L21" s="151">
        <f>ROUNDUP(B21/12,-3)</f>
        <v>6000</v>
      </c>
      <c r="M21" s="71" t="s">
        <v>129</v>
      </c>
      <c r="N21" s="71" t="s">
        <v>128</v>
      </c>
    </row>
    <row r="22" spans="1:14" ht="12.75">
      <c r="A22" s="177" t="s">
        <v>82</v>
      </c>
      <c r="B22" s="106">
        <v>10980.34</v>
      </c>
      <c r="C22" s="106">
        <v>11827.37</v>
      </c>
      <c r="D22" s="106">
        <v>13805.81</v>
      </c>
      <c r="E22" s="106">
        <v>5994</v>
      </c>
      <c r="G22" s="110">
        <f t="shared" si="2"/>
        <v>0.0014577839355780033</v>
      </c>
      <c r="H22" s="110">
        <f t="shared" si="1"/>
        <v>0.0015953909188633154</v>
      </c>
      <c r="I22" s="110">
        <f t="shared" si="1"/>
        <v>0.0018649796179548697</v>
      </c>
      <c r="J22" s="110">
        <f t="shared" si="1"/>
        <v>0.0009004564475926536</v>
      </c>
      <c r="K22" s="117"/>
      <c r="L22" s="105"/>
      <c r="N22" s="71" t="s">
        <v>127</v>
      </c>
    </row>
    <row r="23" spans="1:14" ht="12.75">
      <c r="A23" s="177" t="s">
        <v>83</v>
      </c>
      <c r="B23" s="106">
        <v>82614.89</v>
      </c>
      <c r="C23" s="106">
        <v>86766.5</v>
      </c>
      <c r="D23" s="106">
        <v>92172.62</v>
      </c>
      <c r="E23" s="106">
        <v>83553</v>
      </c>
      <c r="G23" s="110">
        <f t="shared" si="2"/>
        <v>0.010968208587488532</v>
      </c>
      <c r="H23" s="110">
        <f t="shared" si="1"/>
        <v>0.011703911026843148</v>
      </c>
      <c r="I23" s="110">
        <f t="shared" si="1"/>
        <v>0.012451283744561122</v>
      </c>
      <c r="J23" s="110">
        <f t="shared" si="1"/>
        <v>0.012551858119070568</v>
      </c>
      <c r="K23" s="117"/>
      <c r="L23" s="105"/>
      <c r="N23" s="71" t="s">
        <v>127</v>
      </c>
    </row>
    <row r="24" spans="1:14" ht="12.75">
      <c r="A24" s="177" t="s">
        <v>76</v>
      </c>
      <c r="B24" s="106">
        <v>168946.68</v>
      </c>
      <c r="C24" s="106">
        <v>123701.34</v>
      </c>
      <c r="D24" s="106">
        <v>123948.70999999999</v>
      </c>
      <c r="E24" s="106">
        <v>121504</v>
      </c>
      <c r="G24" s="110">
        <f t="shared" si="2"/>
        <v>0.02242988432719183</v>
      </c>
      <c r="H24" s="110">
        <f t="shared" si="1"/>
        <v>0.01668604216213946</v>
      </c>
      <c r="I24" s="110">
        <f t="shared" si="1"/>
        <v>0.016743806978496655</v>
      </c>
      <c r="J24" s="110">
        <f t="shared" si="1"/>
        <v>0.018253096464514146</v>
      </c>
      <c r="L24" s="105" t="s">
        <v>132</v>
      </c>
      <c r="M24" s="71" t="s">
        <v>131</v>
      </c>
      <c r="N24" s="71" t="s">
        <v>128</v>
      </c>
    </row>
    <row r="25" spans="1:14" ht="12.75">
      <c r="A25" s="177" t="s">
        <v>84</v>
      </c>
      <c r="B25" s="106">
        <v>19360.58</v>
      </c>
      <c r="C25" s="106">
        <v>19736.739999999998</v>
      </c>
      <c r="D25" s="106">
        <v>17965.510000000002</v>
      </c>
      <c r="E25" s="106">
        <v>20691</v>
      </c>
      <c r="G25" s="110">
        <f t="shared" si="2"/>
        <v>0.002570370544762073</v>
      </c>
      <c r="H25" s="110">
        <f t="shared" si="1"/>
        <v>0.002662283818293192</v>
      </c>
      <c r="I25" s="110">
        <f t="shared" si="1"/>
        <v>0.002426899253007567</v>
      </c>
      <c r="J25" s="110">
        <f t="shared" si="1"/>
        <v>0.003108332391915181</v>
      </c>
      <c r="L25" s="105" t="s">
        <v>132</v>
      </c>
      <c r="M25" s="71" t="s">
        <v>130</v>
      </c>
      <c r="N25" s="71" t="s">
        <v>128</v>
      </c>
    </row>
    <row r="26" spans="1:14" ht="12.75">
      <c r="A26" s="177" t="s">
        <v>85</v>
      </c>
      <c r="B26" s="106">
        <v>2794.74</v>
      </c>
      <c r="C26" s="106">
        <v>1878.93</v>
      </c>
      <c r="D26" s="106">
        <v>2451.72</v>
      </c>
      <c r="E26" s="106">
        <v>2299</v>
      </c>
      <c r="G26" s="110">
        <f t="shared" si="2"/>
        <v>0.0003710383354356303</v>
      </c>
      <c r="H26" s="110">
        <f t="shared" si="1"/>
        <v>0.000253448387864745</v>
      </c>
      <c r="I26" s="110">
        <f t="shared" si="1"/>
        <v>0.00033119446297843536</v>
      </c>
      <c r="J26" s="110">
        <f t="shared" si="1"/>
        <v>0.00034537026576835346</v>
      </c>
      <c r="K26" s="117"/>
      <c r="L26" s="105"/>
      <c r="N26" s="71" t="s">
        <v>127</v>
      </c>
    </row>
    <row r="27" spans="1:14" ht="12.75">
      <c r="A27" s="177" t="s">
        <v>75</v>
      </c>
      <c r="B27" s="106">
        <v>40728.62</v>
      </c>
      <c r="C27" s="106">
        <v>39824.11</v>
      </c>
      <c r="D27" s="106">
        <v>42401.18</v>
      </c>
      <c r="E27" s="106">
        <v>41166</v>
      </c>
      <c r="G27" s="110">
        <f t="shared" si="2"/>
        <v>0.005407257694594245</v>
      </c>
      <c r="H27" s="110">
        <f aca="true" t="shared" si="7" ref="H27:H34">+C27/C$7</f>
        <v>0.0053718640277435935</v>
      </c>
      <c r="I27" s="110">
        <f aca="true" t="shared" si="8" ref="I27:I34">+D27/D$7</f>
        <v>0.005727830274155277</v>
      </c>
      <c r="J27" s="110">
        <f aca="true" t="shared" si="9" ref="J27:J34">+E27/E$7</f>
        <v>0.006184215902836032</v>
      </c>
      <c r="K27" s="117"/>
      <c r="L27" s="105"/>
      <c r="N27" s="71" t="s">
        <v>127</v>
      </c>
    </row>
    <row r="28" spans="1:14" ht="12.75">
      <c r="A28" s="177" t="s">
        <v>86</v>
      </c>
      <c r="B28" s="106">
        <v>20175.65</v>
      </c>
      <c r="C28" s="106">
        <v>23299.98</v>
      </c>
      <c r="D28" s="106">
        <v>25248.78</v>
      </c>
      <c r="E28" s="106">
        <v>23441</v>
      </c>
      <c r="G28" s="110">
        <f t="shared" si="2"/>
        <v>0.00267858176157062</v>
      </c>
      <c r="H28" s="110">
        <f t="shared" si="7"/>
        <v>0.003142928351924128</v>
      </c>
      <c r="I28" s="110">
        <f t="shared" si="8"/>
        <v>0.0034107712679101445</v>
      </c>
      <c r="J28" s="110">
        <f t="shared" si="9"/>
        <v>0.003521454719389288</v>
      </c>
      <c r="K28" s="150"/>
      <c r="L28" s="151">
        <f>ROUNDUP(B28/12,-3)</f>
        <v>2000</v>
      </c>
      <c r="N28" s="71" t="s">
        <v>128</v>
      </c>
    </row>
    <row r="29" spans="1:14" ht="12.75">
      <c r="A29" s="177" t="s">
        <v>87</v>
      </c>
      <c r="B29" s="106">
        <v>12555.81</v>
      </c>
      <c r="C29" s="106">
        <v>13482.97</v>
      </c>
      <c r="D29" s="106">
        <v>11003.43</v>
      </c>
      <c r="E29" s="106">
        <v>39774</v>
      </c>
      <c r="G29" s="110">
        <f t="shared" si="2"/>
        <v>0.0016669482107265939</v>
      </c>
      <c r="H29" s="110">
        <f t="shared" si="7"/>
        <v>0.0018187143800613757</v>
      </c>
      <c r="I29" s="110">
        <f t="shared" si="8"/>
        <v>0.0014864156958261162</v>
      </c>
      <c r="J29" s="110">
        <f t="shared" si="9"/>
        <v>0.0059751008919836845</v>
      </c>
      <c r="K29" s="117"/>
      <c r="L29" s="105"/>
      <c r="N29" s="71" t="s">
        <v>127</v>
      </c>
    </row>
    <row r="30" spans="1:14" ht="12.75">
      <c r="A30" s="177" t="s">
        <v>88</v>
      </c>
      <c r="B30" s="106">
        <v>42894.39</v>
      </c>
      <c r="C30" s="106">
        <v>45417.950000000004</v>
      </c>
      <c r="D30" s="106">
        <v>38738.71</v>
      </c>
      <c r="E30" s="106">
        <v>5996</v>
      </c>
      <c r="G30" s="110">
        <f t="shared" si="2"/>
        <v>0.005694792025421594</v>
      </c>
      <c r="H30" s="110">
        <f t="shared" si="7"/>
        <v>0.006126415676806266</v>
      </c>
      <c r="I30" s="110">
        <f t="shared" si="8"/>
        <v>0.0052330797378686575</v>
      </c>
      <c r="J30" s="110">
        <f t="shared" si="9"/>
        <v>0.0009007569001944529</v>
      </c>
      <c r="K30" s="117"/>
      <c r="L30" s="105"/>
      <c r="N30" s="71" t="s">
        <v>127</v>
      </c>
    </row>
    <row r="31" spans="1:14" ht="12.75">
      <c r="A31" s="177" t="s">
        <v>89</v>
      </c>
      <c r="B31" s="106">
        <v>30895.35</v>
      </c>
      <c r="C31" s="106">
        <v>24910.69</v>
      </c>
      <c r="D31" s="106">
        <v>27644.3</v>
      </c>
      <c r="E31" s="106">
        <v>53839</v>
      </c>
      <c r="G31" s="110">
        <f t="shared" si="2"/>
        <v>0.004101762323758632</v>
      </c>
      <c r="H31" s="110">
        <f t="shared" si="7"/>
        <v>0.0033601966124860556</v>
      </c>
      <c r="I31" s="110">
        <f t="shared" si="8"/>
        <v>0.0037343738652516442</v>
      </c>
      <c r="J31" s="110">
        <f t="shared" si="9"/>
        <v>0.008088033814137616</v>
      </c>
      <c r="K31" s="117"/>
      <c r="L31" s="105"/>
      <c r="N31" s="71" t="s">
        <v>127</v>
      </c>
    </row>
    <row r="32" spans="1:14" ht="12.75">
      <c r="A32" s="177" t="s">
        <v>92</v>
      </c>
      <c r="B32" s="106">
        <v>59932</v>
      </c>
      <c r="C32" s="106">
        <v>49526</v>
      </c>
      <c r="D32" s="106">
        <v>30293</v>
      </c>
      <c r="E32" s="106">
        <v>26131</v>
      </c>
      <c r="G32" s="110">
        <f t="shared" si="2"/>
        <v>0.007956757880635835</v>
      </c>
      <c r="H32" s="110">
        <f t="shared" si="7"/>
        <v>0.00668054949220533</v>
      </c>
      <c r="I32" s="110">
        <f t="shared" si="8"/>
        <v>0.004092177682200962</v>
      </c>
      <c r="J32" s="110">
        <f t="shared" si="9"/>
        <v>0.003925563468809415</v>
      </c>
      <c r="K32" s="150"/>
      <c r="L32" s="151">
        <f>ROUNDUP(B32/12,-3)</f>
        <v>5000</v>
      </c>
      <c r="N32" s="71" t="s">
        <v>128</v>
      </c>
    </row>
    <row r="33" spans="1:14" ht="12.75">
      <c r="A33" s="177" t="s">
        <v>9</v>
      </c>
      <c r="B33" s="106">
        <v>302.72</v>
      </c>
      <c r="C33" s="106">
        <v>345.97</v>
      </c>
      <c r="D33" s="106">
        <v>417</v>
      </c>
      <c r="E33" s="106">
        <v>1052</v>
      </c>
      <c r="G33" s="110">
        <f t="shared" si="2"/>
        <v>4.0190044477509186E-05</v>
      </c>
      <c r="H33" s="110">
        <f t="shared" si="7"/>
        <v>4.666780494726565E-05</v>
      </c>
      <c r="I33" s="110">
        <f t="shared" si="8"/>
        <v>5.633110267975444E-05</v>
      </c>
      <c r="J33" s="110">
        <f t="shared" si="9"/>
        <v>0.00015803806854645838</v>
      </c>
      <c r="K33" s="117"/>
      <c r="L33" s="105"/>
      <c r="N33" s="71" t="s">
        <v>127</v>
      </c>
    </row>
    <row r="34" spans="1:14" ht="12.75">
      <c r="A34" s="177" t="s">
        <v>90</v>
      </c>
      <c r="B34" s="106">
        <v>0</v>
      </c>
      <c r="C34" s="106">
        <v>8836.33</v>
      </c>
      <c r="D34" s="106">
        <v>28022</v>
      </c>
      <c r="E34" s="106">
        <v>0</v>
      </c>
      <c r="G34" s="110">
        <f t="shared" si="2"/>
        <v>0</v>
      </c>
      <c r="H34" s="110">
        <f t="shared" si="7"/>
        <v>0.0011919302971057368</v>
      </c>
      <c r="I34" s="110">
        <f t="shared" si="8"/>
        <v>0.003785396065448631</v>
      </c>
      <c r="J34" s="110">
        <f t="shared" si="9"/>
        <v>0</v>
      </c>
      <c r="K34" s="117"/>
      <c r="L34" s="118">
        <f>ROUND(SUMIF(N17:N34,"V",G17:G34),2)</f>
        <v>0.07</v>
      </c>
      <c r="N34" s="71" t="s">
        <v>127</v>
      </c>
    </row>
    <row r="35" spans="2:12" ht="12.75">
      <c r="B35" s="104"/>
      <c r="C35" s="104"/>
      <c r="D35" s="104"/>
      <c r="E35" s="104"/>
      <c r="G35" s="109"/>
      <c r="H35" s="109"/>
      <c r="I35" s="109"/>
      <c r="J35" s="109"/>
      <c r="L35" s="105"/>
    </row>
    <row r="36" spans="1:12" ht="12.75">
      <c r="A36" s="100" t="s">
        <v>91</v>
      </c>
      <c r="B36" s="106">
        <f>SUM(B10:B35)</f>
        <v>7409669.039999998</v>
      </c>
      <c r="C36" s="106">
        <f>SUM(C10:C35)</f>
        <v>7557380.970000002</v>
      </c>
      <c r="D36" s="106">
        <f>SUM(D10:D35)</f>
        <v>7663858.6099999985</v>
      </c>
      <c r="E36" s="106">
        <f>SUM(E10:E35)</f>
        <v>6610110</v>
      </c>
      <c r="G36" s="110">
        <f>SUM(G10:G35)</f>
        <v>0.9837306034659842</v>
      </c>
      <c r="H36" s="110">
        <f>SUM(H10:H35)</f>
        <v>1.0194131890630322</v>
      </c>
      <c r="I36" s="110">
        <f>SUM(I10:I35)</f>
        <v>1.0352844275372426</v>
      </c>
      <c r="J36" s="110">
        <f>SUM(J10:J35)</f>
        <v>0.9930123738399524</v>
      </c>
      <c r="L36" s="105"/>
    </row>
    <row r="37" spans="1:12" ht="12.75">
      <c r="A37" s="100"/>
      <c r="B37" s="106"/>
      <c r="C37" s="106"/>
      <c r="D37" s="106"/>
      <c r="E37" s="106"/>
      <c r="G37" s="110"/>
      <c r="H37" s="110"/>
      <c r="I37" s="110"/>
      <c r="J37" s="110"/>
      <c r="L37" s="105"/>
    </row>
    <row r="38" spans="1:12" ht="13.5" thickBot="1">
      <c r="A38" s="178" t="s">
        <v>93</v>
      </c>
      <c r="B38" s="107">
        <f>+B7-B36</f>
        <v>122544.57000000216</v>
      </c>
      <c r="C38" s="107">
        <f>+C7-C36</f>
        <v>-143918.94000000134</v>
      </c>
      <c r="D38" s="107">
        <f>+D7-D36</f>
        <v>-261198.61999999825</v>
      </c>
      <c r="E38" s="107">
        <f>+E7-E36</f>
        <v>46514</v>
      </c>
      <c r="G38" s="111">
        <f aca="true" t="shared" si="10" ref="G38">+B38/B$7</f>
        <v>0.016269396534016</v>
      </c>
      <c r="H38" s="111">
        <f aca="true" t="shared" si="11" ref="H38">+C38/C$7</f>
        <v>-0.019413189063032313</v>
      </c>
      <c r="I38" s="111">
        <f aca="true" t="shared" si="12" ref="I38">+D38/D$7</f>
        <v>-0.035284427537242355</v>
      </c>
      <c r="J38" s="111">
        <f aca="true" t="shared" si="13" ref="J38">+E38/E$7</f>
        <v>0.0069876261600474955</v>
      </c>
      <c r="L38" s="105"/>
    </row>
    <row r="39" spans="8:10" ht="5.4" customHeight="1" thickTop="1">
      <c r="H39" s="112"/>
      <c r="I39" s="112"/>
      <c r="J39" s="11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E17"/>
  <sheetViews>
    <sheetView workbookViewId="0" topLeftCell="A1">
      <selection activeCell="B33" sqref="B33"/>
    </sheetView>
  </sheetViews>
  <sheetFormatPr defaultColWidth="9.140625" defaultRowHeight="12.75"/>
  <cols>
    <col min="2" max="2" width="32.57421875" style="0" bestFit="1" customWidth="1"/>
    <col min="3" max="3" width="12.140625" style="0" customWidth="1"/>
    <col min="4" max="4" width="1.8515625" style="0" customWidth="1"/>
    <col min="5" max="6" width="12.140625" style="0" customWidth="1"/>
  </cols>
  <sheetData>
    <row r="6" spans="2:5" ht="25">
      <c r="B6" s="57" t="s">
        <v>139</v>
      </c>
      <c r="C6" s="175" t="s">
        <v>140</v>
      </c>
      <c r="E6" s="176" t="s">
        <v>141</v>
      </c>
    </row>
    <row r="7" spans="2:5" ht="15" customHeight="1">
      <c r="B7" s="133" t="s">
        <v>111</v>
      </c>
      <c r="C7" s="135">
        <v>150000</v>
      </c>
      <c r="E7" s="135">
        <v>112500</v>
      </c>
    </row>
    <row r="8" spans="2:5" ht="15.65" customHeight="1">
      <c r="B8" s="133" t="s">
        <v>107</v>
      </c>
      <c r="C8" s="97">
        <v>30</v>
      </c>
      <c r="E8" s="97">
        <v>40</v>
      </c>
    </row>
    <row r="9" spans="2:5" ht="15.65" customHeight="1">
      <c r="B9" s="133" t="s">
        <v>108</v>
      </c>
      <c r="C9" s="97">
        <v>30</v>
      </c>
      <c r="D9" s="97"/>
      <c r="E9" s="97">
        <v>40</v>
      </c>
    </row>
    <row r="10" spans="2:4" ht="15.65" customHeight="1">
      <c r="B10" s="147" t="s">
        <v>121</v>
      </c>
      <c r="C10" s="97"/>
      <c r="D10" s="97"/>
    </row>
    <row r="11" spans="2:5" ht="15.65" customHeight="1">
      <c r="B11" s="133" t="s">
        <v>125</v>
      </c>
      <c r="E11" s="97">
        <f>+'Income Statement'!L14</f>
        <v>55000</v>
      </c>
    </row>
    <row r="12" spans="2:5" ht="15.65" customHeight="1">
      <c r="B12" s="133" t="s">
        <v>124</v>
      </c>
      <c r="E12" s="97">
        <f>+'Income Statement'!L16</f>
        <v>25000</v>
      </c>
    </row>
    <row r="13" spans="2:5" ht="15.65" customHeight="1">
      <c r="B13" s="133" t="s">
        <v>142</v>
      </c>
      <c r="E13" s="97">
        <f>+'Income Statement'!L21+'Income Statement'!L28+'Income Statement'!L32</f>
        <v>13000</v>
      </c>
    </row>
    <row r="14" spans="2:5" ht="15.65" customHeight="1">
      <c r="B14" s="147" t="s">
        <v>122</v>
      </c>
      <c r="E14" s="97"/>
    </row>
    <row r="15" spans="2:5" ht="15.65" customHeight="1">
      <c r="B15" s="133" t="s">
        <v>109</v>
      </c>
      <c r="E15" s="134">
        <f>+'Income Statement'!L10</f>
        <v>0.56</v>
      </c>
    </row>
    <row r="16" spans="2:5" ht="15.65" customHeight="1">
      <c r="B16" s="133" t="s">
        <v>123</v>
      </c>
      <c r="E16" s="134">
        <f>+'Income Statement'!L12</f>
        <v>0.08</v>
      </c>
    </row>
    <row r="17" spans="2:5" ht="15.65" customHeight="1">
      <c r="B17" s="133" t="s">
        <v>110</v>
      </c>
      <c r="E17" s="134">
        <f>+'Income Statement'!L34</f>
        <v>0.07</v>
      </c>
    </row>
    <row r="18" ht="15.6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W46"/>
  <sheetViews>
    <sheetView zoomScale="90" zoomScaleNormal="90" workbookViewId="0" topLeftCell="A1">
      <pane xSplit="3" ySplit="10" topLeftCell="H11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8.8515625" defaultRowHeight="12.75"/>
  <cols>
    <col min="1" max="1" width="0.9921875" style="57" customWidth="1"/>
    <col min="2" max="2" width="3.140625" style="66" customWidth="1"/>
    <col min="3" max="3" width="32.140625" style="66" customWidth="1"/>
    <col min="4" max="8" width="14.421875" style="57" customWidth="1"/>
    <col min="9" max="20" width="12.57421875" style="57" customWidth="1"/>
    <col min="21" max="21" width="8.8515625" style="57" hidden="1" customWidth="1"/>
    <col min="22" max="22" width="17.57421875" style="57" hidden="1" customWidth="1"/>
    <col min="23" max="23" width="8.8515625" style="57" hidden="1" customWidth="1"/>
    <col min="24" max="16384" width="8.8515625" style="57" customWidth="1"/>
  </cols>
  <sheetData>
    <row r="2" spans="2:23" ht="13">
      <c r="B2" s="80"/>
      <c r="C2" s="66" t="s">
        <v>102</v>
      </c>
      <c r="D2" s="101"/>
      <c r="E2" s="101"/>
      <c r="F2" s="101"/>
      <c r="G2" s="101"/>
      <c r="H2" s="101">
        <v>150000</v>
      </c>
      <c r="I2" s="101">
        <v>150000</v>
      </c>
      <c r="J2" s="101">
        <v>150000</v>
      </c>
      <c r="K2" s="101">
        <v>150000</v>
      </c>
      <c r="L2" s="101">
        <v>150000</v>
      </c>
      <c r="M2" s="101">
        <v>150000</v>
      </c>
      <c r="N2" s="101">
        <v>150000</v>
      </c>
      <c r="O2" s="101">
        <v>150000</v>
      </c>
      <c r="P2" s="101">
        <v>150000</v>
      </c>
      <c r="Q2" s="101">
        <v>150000</v>
      </c>
      <c r="R2" s="101">
        <v>150000</v>
      </c>
      <c r="S2" s="101">
        <v>150000</v>
      </c>
      <c r="T2" s="101">
        <v>150000</v>
      </c>
      <c r="V2" s="153">
        <f>150000*52</f>
        <v>7800000</v>
      </c>
      <c r="W2" s="152" t="s">
        <v>133</v>
      </c>
    </row>
    <row r="3" spans="2:22" ht="13">
      <c r="B3" s="80"/>
      <c r="C3" s="66" t="s">
        <v>103</v>
      </c>
      <c r="D3" s="141"/>
      <c r="E3" s="141"/>
      <c r="F3" s="141"/>
      <c r="G3" s="141"/>
      <c r="H3" s="141">
        <v>0.75</v>
      </c>
      <c r="I3" s="141">
        <v>0.75</v>
      </c>
      <c r="J3" s="141">
        <v>0.75</v>
      </c>
      <c r="K3" s="141">
        <v>0.7</v>
      </c>
      <c r="L3" s="141">
        <v>0.75</v>
      </c>
      <c r="M3" s="141">
        <v>0.75</v>
      </c>
      <c r="N3" s="141">
        <v>0.75</v>
      </c>
      <c r="O3" s="141">
        <v>0.8</v>
      </c>
      <c r="P3" s="141">
        <v>0.85</v>
      </c>
      <c r="Q3" s="141">
        <v>0.9</v>
      </c>
      <c r="R3" s="141">
        <v>0.95</v>
      </c>
      <c r="S3" s="141">
        <v>1</v>
      </c>
      <c r="T3" s="141">
        <v>1</v>
      </c>
      <c r="V3" s="153"/>
    </row>
    <row r="4" spans="2:22" ht="13">
      <c r="B4" s="80"/>
      <c r="C4" s="66" t="s">
        <v>104</v>
      </c>
      <c r="D4" s="101"/>
      <c r="E4" s="101"/>
      <c r="F4" s="101"/>
      <c r="G4" s="101"/>
      <c r="H4" s="101">
        <f>+H2*H3</f>
        <v>112500</v>
      </c>
      <c r="I4" s="101">
        <f aca="true" t="shared" si="0" ref="I4:T4">+I2*I3</f>
        <v>112500</v>
      </c>
      <c r="J4" s="101">
        <f t="shared" si="0"/>
        <v>112500</v>
      </c>
      <c r="K4" s="101">
        <f t="shared" si="0"/>
        <v>105000</v>
      </c>
      <c r="L4" s="101">
        <f t="shared" si="0"/>
        <v>112500</v>
      </c>
      <c r="M4" s="101">
        <f t="shared" si="0"/>
        <v>112500</v>
      </c>
      <c r="N4" s="101">
        <f t="shared" si="0"/>
        <v>112500</v>
      </c>
      <c r="O4" s="101">
        <f t="shared" si="0"/>
        <v>120000</v>
      </c>
      <c r="P4" s="101">
        <f t="shared" si="0"/>
        <v>127500</v>
      </c>
      <c r="Q4" s="101">
        <f t="shared" si="0"/>
        <v>135000</v>
      </c>
      <c r="R4" s="101">
        <f t="shared" si="0"/>
        <v>142500</v>
      </c>
      <c r="S4" s="101">
        <f t="shared" si="0"/>
        <v>150000</v>
      </c>
      <c r="T4" s="101">
        <f t="shared" si="0"/>
        <v>150000</v>
      </c>
      <c r="V4" s="153">
        <f>SUM(H4:T4)</f>
        <v>1605000</v>
      </c>
    </row>
    <row r="5" spans="2:22" ht="13">
      <c r="B5" s="80"/>
      <c r="C5" s="75" t="s">
        <v>105</v>
      </c>
      <c r="D5" s="139"/>
      <c r="E5" s="139"/>
      <c r="F5" s="139"/>
      <c r="G5" s="139"/>
      <c r="H5" s="139">
        <v>40</v>
      </c>
      <c r="I5" s="139">
        <v>40</v>
      </c>
      <c r="J5" s="139">
        <v>45</v>
      </c>
      <c r="K5" s="139">
        <v>50</v>
      </c>
      <c r="L5" s="139">
        <v>45</v>
      </c>
      <c r="M5" s="139">
        <v>45</v>
      </c>
      <c r="N5" s="139">
        <v>40</v>
      </c>
      <c r="O5" s="139">
        <v>40</v>
      </c>
      <c r="P5" s="139">
        <v>35</v>
      </c>
      <c r="Q5" s="139">
        <v>35</v>
      </c>
      <c r="R5" s="139">
        <v>35</v>
      </c>
      <c r="S5" s="139">
        <v>30</v>
      </c>
      <c r="T5" s="139">
        <v>30</v>
      </c>
      <c r="V5" s="153">
        <f>+V4/13*6.5</f>
        <v>802500</v>
      </c>
    </row>
    <row r="6" spans="2:22" ht="13">
      <c r="B6" s="80"/>
      <c r="C6" s="75" t="s">
        <v>106</v>
      </c>
      <c r="D6" s="140"/>
      <c r="E6" s="140"/>
      <c r="F6" s="140"/>
      <c r="G6" s="140"/>
      <c r="H6" s="140">
        <v>40</v>
      </c>
      <c r="I6" s="140">
        <v>40</v>
      </c>
      <c r="J6" s="140">
        <v>40</v>
      </c>
      <c r="K6" s="140">
        <v>40</v>
      </c>
      <c r="L6" s="140">
        <v>40</v>
      </c>
      <c r="M6" s="140">
        <v>40</v>
      </c>
      <c r="N6" s="140">
        <v>40</v>
      </c>
      <c r="O6" s="140">
        <v>35</v>
      </c>
      <c r="P6" s="140">
        <v>35</v>
      </c>
      <c r="Q6" s="140">
        <v>35</v>
      </c>
      <c r="R6" s="140">
        <v>35</v>
      </c>
      <c r="S6" s="140">
        <v>35</v>
      </c>
      <c r="T6" s="140">
        <v>30</v>
      </c>
      <c r="V6" s="153">
        <f>+V5/6.5</f>
        <v>123461.53846153847</v>
      </c>
    </row>
    <row r="7" spans="2:3" ht="13.5" thickBot="1">
      <c r="B7" s="80"/>
      <c r="C7" s="75"/>
    </row>
    <row r="8" spans="3:20" ht="13">
      <c r="C8" s="59"/>
      <c r="D8" s="136" t="s">
        <v>138</v>
      </c>
      <c r="E8" s="136" t="s">
        <v>137</v>
      </c>
      <c r="F8" s="136" t="s">
        <v>136</v>
      </c>
      <c r="G8" s="136" t="s">
        <v>135</v>
      </c>
      <c r="H8" s="160" t="s">
        <v>16</v>
      </c>
      <c r="I8" s="27" t="s">
        <v>18</v>
      </c>
      <c r="J8" s="5" t="s">
        <v>19</v>
      </c>
      <c r="K8" s="5" t="s">
        <v>20</v>
      </c>
      <c r="L8" s="5" t="s">
        <v>21</v>
      </c>
      <c r="M8" s="5" t="s">
        <v>22</v>
      </c>
      <c r="N8" s="5" t="s">
        <v>23</v>
      </c>
      <c r="O8" s="5" t="s">
        <v>24</v>
      </c>
      <c r="P8" s="5" t="s">
        <v>25</v>
      </c>
      <c r="Q8" s="5" t="s">
        <v>26</v>
      </c>
      <c r="R8" s="5" t="s">
        <v>27</v>
      </c>
      <c r="S8" s="28" t="s">
        <v>28</v>
      </c>
      <c r="T8" s="40" t="s">
        <v>29</v>
      </c>
    </row>
    <row r="9" spans="3:20" ht="13">
      <c r="C9" s="59"/>
      <c r="D9" s="35">
        <f>+E9-7</f>
        <v>43927</v>
      </c>
      <c r="E9" s="35">
        <f>+F9-7</f>
        <v>43934</v>
      </c>
      <c r="F9" s="35">
        <f>+G9-7</f>
        <v>43941</v>
      </c>
      <c r="G9" s="35">
        <f>+H9-7</f>
        <v>43948</v>
      </c>
      <c r="H9" s="161">
        <v>43955</v>
      </c>
      <c r="I9" s="36">
        <f>H9+7</f>
        <v>43962</v>
      </c>
      <c r="J9" s="36">
        <f>I9+7</f>
        <v>43969</v>
      </c>
      <c r="K9" s="36">
        <f aca="true" t="shared" si="1" ref="K9:T9">J9+7</f>
        <v>43976</v>
      </c>
      <c r="L9" s="36">
        <f t="shared" si="1"/>
        <v>43983</v>
      </c>
      <c r="M9" s="36">
        <f t="shared" si="1"/>
        <v>43990</v>
      </c>
      <c r="N9" s="36">
        <f t="shared" si="1"/>
        <v>43997</v>
      </c>
      <c r="O9" s="36">
        <f t="shared" si="1"/>
        <v>44004</v>
      </c>
      <c r="P9" s="36">
        <f t="shared" si="1"/>
        <v>44011</v>
      </c>
      <c r="Q9" s="36">
        <f t="shared" si="1"/>
        <v>44018</v>
      </c>
      <c r="R9" s="36">
        <f t="shared" si="1"/>
        <v>44025</v>
      </c>
      <c r="S9" s="36">
        <f t="shared" si="1"/>
        <v>44032</v>
      </c>
      <c r="T9" s="37">
        <f t="shared" si="1"/>
        <v>44039</v>
      </c>
    </row>
    <row r="10" spans="2:20" ht="13" thickBot="1">
      <c r="B10" s="81"/>
      <c r="C10" s="59"/>
      <c r="D10" s="60" t="s">
        <v>134</v>
      </c>
      <c r="E10" s="60" t="s">
        <v>134</v>
      </c>
      <c r="F10" s="60" t="s">
        <v>134</v>
      </c>
      <c r="G10" s="60" t="s">
        <v>134</v>
      </c>
      <c r="H10" s="162" t="s">
        <v>17</v>
      </c>
      <c r="I10" s="61" t="s">
        <v>17</v>
      </c>
      <c r="J10" s="62" t="s">
        <v>17</v>
      </c>
      <c r="K10" s="62" t="s">
        <v>17</v>
      </c>
      <c r="L10" s="62" t="s">
        <v>17</v>
      </c>
      <c r="M10" s="62" t="s">
        <v>17</v>
      </c>
      <c r="N10" s="62" t="s">
        <v>17</v>
      </c>
      <c r="O10" s="62" t="s">
        <v>17</v>
      </c>
      <c r="P10" s="62" t="s">
        <v>17</v>
      </c>
      <c r="Q10" s="62" t="s">
        <v>17</v>
      </c>
      <c r="R10" s="62" t="s">
        <v>17</v>
      </c>
      <c r="S10" s="63" t="s">
        <v>17</v>
      </c>
      <c r="T10" s="64" t="s">
        <v>17</v>
      </c>
    </row>
    <row r="11" spans="2:20" ht="13">
      <c r="B11" s="78" t="s">
        <v>0</v>
      </c>
      <c r="C11" s="76"/>
      <c r="D11" s="41"/>
      <c r="E11" s="41"/>
      <c r="F11" s="41"/>
      <c r="G11" s="41"/>
      <c r="H11" s="163">
        <v>100000</v>
      </c>
      <c r="I11" s="42">
        <f>H43</f>
        <v>56000</v>
      </c>
      <c r="J11" s="42">
        <f>I43</f>
        <v>91000</v>
      </c>
      <c r="K11" s="42">
        <f aca="true" t="shared" si="2" ref="K11:T11">J43</f>
        <v>53000</v>
      </c>
      <c r="L11" s="42">
        <f t="shared" si="2"/>
        <v>48000</v>
      </c>
      <c r="M11" s="42">
        <f t="shared" si="2"/>
        <v>10600</v>
      </c>
      <c r="N11" s="42">
        <f t="shared" si="2"/>
        <v>45600</v>
      </c>
      <c r="O11" s="42">
        <f t="shared" si="2"/>
        <v>15900</v>
      </c>
      <c r="P11" s="42">
        <f t="shared" si="2"/>
        <v>57524.999999999985</v>
      </c>
      <c r="Q11" s="42">
        <f t="shared" si="2"/>
        <v>-93200.00000000001</v>
      </c>
      <c r="R11" s="42">
        <f t="shared" si="2"/>
        <v>-59045.00000000003</v>
      </c>
      <c r="S11" s="42">
        <f t="shared" si="2"/>
        <v>-151725.00000000003</v>
      </c>
      <c r="T11" s="43">
        <f t="shared" si="2"/>
        <v>-47100.000000000044</v>
      </c>
    </row>
    <row r="12" spans="2:20" ht="13">
      <c r="B12" s="78" t="s">
        <v>1</v>
      </c>
      <c r="C12" s="76"/>
      <c r="D12" s="47"/>
      <c r="E12" s="47"/>
      <c r="F12" s="47"/>
      <c r="G12" s="47"/>
      <c r="H12" s="16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85"/>
    </row>
    <row r="13" spans="3:23" s="71" customFormat="1" ht="12.75">
      <c r="C13" s="132" t="s">
        <v>101</v>
      </c>
      <c r="D13" s="17"/>
      <c r="E13" s="17"/>
      <c r="F13" s="17"/>
      <c r="G13" s="17"/>
      <c r="H13" s="165">
        <f>'Accounts Receivable'!F28</f>
        <v>100000</v>
      </c>
      <c r="I13" s="22">
        <f>'Accounts Receivable'!G28</f>
        <v>100000</v>
      </c>
      <c r="J13" s="22">
        <f>'Accounts Receivable'!H28</f>
        <v>100000</v>
      </c>
      <c r="K13" s="22">
        <f>'Accounts Receivable'!I28</f>
        <v>100000</v>
      </c>
      <c r="L13" s="22">
        <f>'Accounts Receivable'!J28</f>
        <v>100000</v>
      </c>
      <c r="M13" s="22">
        <f>'Accounts Receivable'!K28</f>
        <v>100000</v>
      </c>
      <c r="N13" s="22">
        <f>'Accounts Receivable'!L28</f>
        <v>30000</v>
      </c>
      <c r="O13" s="22">
        <f>'Accounts Receivable'!M28</f>
        <v>0</v>
      </c>
      <c r="P13" s="22">
        <f>'Accounts Receivable'!N28</f>
        <v>0</v>
      </c>
      <c r="Q13" s="22">
        <f>'Accounts Receivable'!O28</f>
        <v>0</v>
      </c>
      <c r="R13" s="22">
        <f>'Accounts Receivable'!P28</f>
        <v>0</v>
      </c>
      <c r="S13" s="22">
        <f>'Accounts Receivable'!Q28</f>
        <v>0</v>
      </c>
      <c r="T13" s="26">
        <f>'Accounts Receivable'!R28</f>
        <v>0</v>
      </c>
      <c r="V13" s="142">
        <f>SUM(H13:T13)</f>
        <v>630000</v>
      </c>
      <c r="W13" s="101">
        <f>+V13/V4*(13*7)</f>
        <v>35.719626168224295</v>
      </c>
    </row>
    <row r="14" spans="2:20" s="71" customFormat="1" ht="13">
      <c r="B14" s="86"/>
      <c r="C14" s="77" t="s">
        <v>37</v>
      </c>
      <c r="D14" s="17"/>
      <c r="E14" s="17"/>
      <c r="F14" s="17"/>
      <c r="G14" s="17"/>
      <c r="H14" s="165">
        <f>+'Sales Forecast'!B15</f>
        <v>0</v>
      </c>
      <c r="I14" s="22">
        <f>+'Sales Forecast'!C15</f>
        <v>0</v>
      </c>
      <c r="J14" s="22">
        <f>+'Sales Forecast'!D15</f>
        <v>0</v>
      </c>
      <c r="K14" s="22">
        <f>+'Sales Forecast'!E15</f>
        <v>0</v>
      </c>
      <c r="L14" s="22">
        <f>+'Sales Forecast'!F15</f>
        <v>0</v>
      </c>
      <c r="M14" s="22">
        <f>+'Sales Forecast'!G15</f>
        <v>0</v>
      </c>
      <c r="N14" s="22">
        <f>+'Sales Forecast'!H15</f>
        <v>90000</v>
      </c>
      <c r="O14" s="22">
        <f>+'Sales Forecast'!I15</f>
        <v>112500</v>
      </c>
      <c r="P14" s="22">
        <f>+'Sales Forecast'!J15</f>
        <v>33750</v>
      </c>
      <c r="Q14" s="22">
        <f>+'Sales Forecast'!K15</f>
        <v>101250</v>
      </c>
      <c r="R14" s="22">
        <f>+'Sales Forecast'!L15</f>
        <v>53250</v>
      </c>
      <c r="S14" s="22">
        <f>+'Sales Forecast'!M15</f>
        <v>175500</v>
      </c>
      <c r="T14" s="26">
        <f>+'Sales Forecast'!N15</f>
        <v>191250</v>
      </c>
    </row>
    <row r="15" spans="2:20" ht="12.75">
      <c r="B15" s="77"/>
      <c r="C15" s="77" t="s">
        <v>3</v>
      </c>
      <c r="D15" s="17"/>
      <c r="E15" s="17"/>
      <c r="F15" s="17"/>
      <c r="G15" s="17"/>
      <c r="H15" s="165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6"/>
    </row>
    <row r="16" spans="2:20" ht="12.75">
      <c r="B16" s="77"/>
      <c r="C16" s="57"/>
      <c r="D16" s="17"/>
      <c r="E16" s="17"/>
      <c r="F16" s="17"/>
      <c r="G16" s="17"/>
      <c r="H16" s="165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6"/>
    </row>
    <row r="17" spans="2:20" ht="12.75">
      <c r="B17" s="77"/>
      <c r="C17" s="77" t="s">
        <v>30</v>
      </c>
      <c r="D17" s="18"/>
      <c r="E17" s="18"/>
      <c r="F17" s="18"/>
      <c r="G17" s="18"/>
      <c r="H17" s="166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6">
        <v>0</v>
      </c>
    </row>
    <row r="18" spans="2:20" ht="12.75">
      <c r="B18" s="77"/>
      <c r="C18" s="77" t="s">
        <v>2</v>
      </c>
      <c r="D18" s="17"/>
      <c r="E18" s="17"/>
      <c r="F18" s="17"/>
      <c r="G18" s="17"/>
      <c r="H18" s="165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6">
        <v>0</v>
      </c>
    </row>
    <row r="19" spans="2:20" ht="13">
      <c r="B19" s="88"/>
      <c r="C19" s="87"/>
      <c r="D19" s="17"/>
      <c r="E19" s="17"/>
      <c r="F19" s="17"/>
      <c r="G19" s="17"/>
      <c r="H19" s="165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6"/>
    </row>
    <row r="20" spans="2:20" ht="13.5" thickBot="1">
      <c r="B20" s="76"/>
      <c r="C20" s="78" t="s">
        <v>4</v>
      </c>
      <c r="D20" s="44"/>
      <c r="E20" s="44"/>
      <c r="F20" s="44"/>
      <c r="G20" s="156"/>
      <c r="H20" s="167">
        <f aca="true" t="shared" si="3" ref="H20:T20">SUM(H13:H19)</f>
        <v>100000</v>
      </c>
      <c r="I20" s="45">
        <f t="shared" si="3"/>
        <v>100000</v>
      </c>
      <c r="J20" s="45">
        <f t="shared" si="3"/>
        <v>100000</v>
      </c>
      <c r="K20" s="45">
        <f t="shared" si="3"/>
        <v>100000</v>
      </c>
      <c r="L20" s="45">
        <f t="shared" si="3"/>
        <v>100000</v>
      </c>
      <c r="M20" s="45">
        <f t="shared" si="3"/>
        <v>100000</v>
      </c>
      <c r="N20" s="45">
        <f t="shared" si="3"/>
        <v>120000</v>
      </c>
      <c r="O20" s="45">
        <f t="shared" si="3"/>
        <v>112500</v>
      </c>
      <c r="P20" s="45">
        <f t="shared" si="3"/>
        <v>33750</v>
      </c>
      <c r="Q20" s="45">
        <f t="shared" si="3"/>
        <v>101250</v>
      </c>
      <c r="R20" s="45">
        <f t="shared" si="3"/>
        <v>53250</v>
      </c>
      <c r="S20" s="45">
        <f t="shared" si="3"/>
        <v>175500</v>
      </c>
      <c r="T20" s="46">
        <f t="shared" si="3"/>
        <v>191250</v>
      </c>
    </row>
    <row r="21" spans="2:20" ht="14" thickBot="1" thickTop="1">
      <c r="B21" s="78" t="s">
        <v>5</v>
      </c>
      <c r="C21" s="76"/>
      <c r="D21" s="47"/>
      <c r="E21" s="47"/>
      <c r="F21" s="47"/>
      <c r="G21" s="47"/>
      <c r="H21" s="164">
        <f aca="true" t="shared" si="4" ref="H21:T21">H11+H20</f>
        <v>200000</v>
      </c>
      <c r="I21" s="48">
        <f t="shared" si="4"/>
        <v>156000</v>
      </c>
      <c r="J21" s="48">
        <f t="shared" si="4"/>
        <v>191000</v>
      </c>
      <c r="K21" s="48">
        <f t="shared" si="4"/>
        <v>153000</v>
      </c>
      <c r="L21" s="48">
        <f t="shared" si="4"/>
        <v>148000</v>
      </c>
      <c r="M21" s="48">
        <f t="shared" si="4"/>
        <v>110600</v>
      </c>
      <c r="N21" s="48">
        <f t="shared" si="4"/>
        <v>165600</v>
      </c>
      <c r="O21" s="48">
        <f t="shared" si="4"/>
        <v>128400</v>
      </c>
      <c r="P21" s="48">
        <f t="shared" si="4"/>
        <v>91274.99999999999</v>
      </c>
      <c r="Q21" s="48">
        <f t="shared" si="4"/>
        <v>8049.999999999985</v>
      </c>
      <c r="R21" s="48">
        <f t="shared" si="4"/>
        <v>-5795.000000000029</v>
      </c>
      <c r="S21" s="48">
        <f t="shared" si="4"/>
        <v>23774.99999999997</v>
      </c>
      <c r="T21" s="49">
        <f t="shared" si="4"/>
        <v>144149.99999999994</v>
      </c>
    </row>
    <row r="22" spans="2:20" s="66" customFormat="1" ht="6" customHeight="1" thickBot="1">
      <c r="B22" s="79"/>
      <c r="C22" s="77"/>
      <c r="D22" s="19"/>
      <c r="E22" s="19"/>
      <c r="F22" s="19"/>
      <c r="G22" s="19"/>
      <c r="H22" s="168"/>
      <c r="I22" s="19"/>
      <c r="J22" s="19"/>
      <c r="K22" s="19"/>
      <c r="L22" s="19"/>
      <c r="M22" s="19"/>
      <c r="N22" s="19"/>
      <c r="O22" s="19"/>
      <c r="P22" s="19"/>
      <c r="Q22" s="19"/>
      <c r="R22" s="65"/>
      <c r="S22" s="65"/>
      <c r="T22" s="65"/>
    </row>
    <row r="23" spans="2:20" ht="13">
      <c r="B23" s="79"/>
      <c r="C23" s="77"/>
      <c r="D23" s="23"/>
      <c r="E23" s="23"/>
      <c r="F23" s="23"/>
      <c r="G23" s="157"/>
      <c r="H23" s="169"/>
      <c r="I23" s="32"/>
      <c r="J23" s="32"/>
      <c r="K23" s="32"/>
      <c r="L23" s="32"/>
      <c r="M23" s="32"/>
      <c r="N23" s="32"/>
      <c r="O23" s="32"/>
      <c r="P23" s="32"/>
      <c r="Q23" s="32"/>
      <c r="R23" s="67"/>
      <c r="S23" s="67"/>
      <c r="T23" s="68"/>
    </row>
    <row r="24" spans="2:20" s="71" customFormat="1" ht="13">
      <c r="B24" s="78" t="s">
        <v>6</v>
      </c>
      <c r="C24" s="76"/>
      <c r="D24" s="50"/>
      <c r="E24" s="50"/>
      <c r="F24" s="50"/>
      <c r="G24" s="47"/>
      <c r="H24" s="170"/>
      <c r="I24" s="51"/>
      <c r="J24" s="51"/>
      <c r="K24" s="51"/>
      <c r="L24" s="51"/>
      <c r="M24" s="51"/>
      <c r="N24" s="51"/>
      <c r="O24" s="51"/>
      <c r="P24" s="51"/>
      <c r="Q24" s="51"/>
      <c r="R24" s="69"/>
      <c r="S24" s="69"/>
      <c r="T24" s="70"/>
    </row>
    <row r="25" spans="3:23" s="71" customFormat="1" ht="12.75">
      <c r="C25" s="132" t="s">
        <v>100</v>
      </c>
      <c r="D25" s="25"/>
      <c r="E25" s="25"/>
      <c r="F25" s="25"/>
      <c r="G25" s="18"/>
      <c r="H25" s="171">
        <f>+'Accounts Payable'!F28</f>
        <v>65000</v>
      </c>
      <c r="I25" s="20">
        <f>+'Accounts Payable'!G28</f>
        <v>65000</v>
      </c>
      <c r="J25" s="20">
        <f>+'Accounts Payable'!H28</f>
        <v>65000</v>
      </c>
      <c r="K25" s="20">
        <f>+'Accounts Payable'!I28</f>
        <v>65000</v>
      </c>
      <c r="L25" s="20">
        <f>+'Accounts Payable'!J28</f>
        <v>65000</v>
      </c>
      <c r="M25" s="20">
        <f>+'Accounts Payable'!K28</f>
        <v>65000</v>
      </c>
      <c r="N25" s="20">
        <f>+'Accounts Payable'!L28</f>
        <v>20000</v>
      </c>
      <c r="O25" s="20">
        <f>+'Accounts Payable'!M28</f>
        <v>0</v>
      </c>
      <c r="P25" s="20">
        <f>+'Accounts Payable'!N28</f>
        <v>0</v>
      </c>
      <c r="Q25" s="20">
        <f>+'Accounts Payable'!O28</f>
        <v>0</v>
      </c>
      <c r="R25" s="20">
        <f>+'Accounts Payable'!P28</f>
        <v>0</v>
      </c>
      <c r="S25" s="20">
        <f>+'Accounts Payable'!Q28</f>
        <v>0</v>
      </c>
      <c r="T25" s="68">
        <f>+'Accounts Payable'!R28</f>
        <v>0</v>
      </c>
      <c r="V25" s="142">
        <f>SUM(H25:T25)</f>
        <v>410000</v>
      </c>
      <c r="W25" s="101"/>
    </row>
    <row r="26" spans="3:20" s="71" customFormat="1" ht="12.75">
      <c r="C26" s="132" t="s">
        <v>122</v>
      </c>
      <c r="D26" s="25"/>
      <c r="E26" s="25"/>
      <c r="F26" s="25"/>
      <c r="G26" s="18"/>
      <c r="H26" s="17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68"/>
    </row>
    <row r="27" spans="2:22" ht="12.75">
      <c r="B27" s="77"/>
      <c r="C27" s="148" t="s">
        <v>65</v>
      </c>
      <c r="D27" s="24"/>
      <c r="E27" s="24"/>
      <c r="F27" s="24"/>
      <c r="G27" s="17"/>
      <c r="H27" s="172"/>
      <c r="I27" s="22"/>
      <c r="J27" s="22"/>
      <c r="K27" s="22"/>
      <c r="L27" s="22">
        <f>+'Expense Forecast'!F8</f>
        <v>0</v>
      </c>
      <c r="M27" s="22">
        <f>+'Expense Forecast'!G8</f>
        <v>0</v>
      </c>
      <c r="N27" s="22">
        <f>+'Expense Forecast'!H8</f>
        <v>50400.00000000001</v>
      </c>
      <c r="O27" s="22">
        <f>+'Expense Forecast'!I8</f>
        <v>63000.00000000001</v>
      </c>
      <c r="P27" s="22">
        <f>+'Expense Forecast'!J8</f>
        <v>63000.00000000001</v>
      </c>
      <c r="Q27" s="22">
        <f>+'Expense Forecast'!K8</f>
        <v>59640.00000000001</v>
      </c>
      <c r="R27" s="22">
        <f>+'Expense Forecast'!L8</f>
        <v>62160.00000000001</v>
      </c>
      <c r="S27" s="22">
        <f>+'Expense Forecast'!M8</f>
        <v>63000.00000000001</v>
      </c>
      <c r="T27" s="68">
        <f>+'Expense Forecast'!N8</f>
        <v>103320.00000000001</v>
      </c>
      <c r="U27" s="99">
        <f>+'Income Statement'!L10</f>
        <v>0.56</v>
      </c>
      <c r="V27" s="66" t="s">
        <v>67</v>
      </c>
    </row>
    <row r="28" spans="2:22" ht="12.75">
      <c r="B28" s="77"/>
      <c r="C28" s="148" t="s">
        <v>10</v>
      </c>
      <c r="D28" s="24"/>
      <c r="E28" s="24"/>
      <c r="F28" s="24"/>
      <c r="G28" s="17"/>
      <c r="H28" s="172">
        <f>+(150000+150000)*$U$28</f>
        <v>24000</v>
      </c>
      <c r="I28" s="22"/>
      <c r="J28" s="22">
        <f>+(H4+I4)*$U$28</f>
        <v>18000</v>
      </c>
      <c r="K28" s="22"/>
      <c r="L28" s="22">
        <f>+(J4+K4)*$U$28</f>
        <v>17400</v>
      </c>
      <c r="M28" s="22"/>
      <c r="N28" s="22">
        <f>+(L4+M4)*$U$28</f>
        <v>18000</v>
      </c>
      <c r="O28" s="22"/>
      <c r="P28" s="22">
        <f>+(N4+O4)*$U$28</f>
        <v>18600</v>
      </c>
      <c r="Q28" s="72"/>
      <c r="R28" s="22">
        <f>+(P4+Q4)*$U$28</f>
        <v>21000</v>
      </c>
      <c r="S28" s="68"/>
      <c r="T28" s="22">
        <f>+(R4+S4)*$U$28</f>
        <v>23400</v>
      </c>
      <c r="U28" s="99">
        <f>+'Income Statement'!L12</f>
        <v>0.08</v>
      </c>
      <c r="V28" s="66" t="s">
        <v>10</v>
      </c>
    </row>
    <row r="29" spans="2:22" ht="12.75">
      <c r="B29" s="77"/>
      <c r="C29" s="148" t="s">
        <v>66</v>
      </c>
      <c r="D29" s="24"/>
      <c r="E29" s="24"/>
      <c r="F29" s="24"/>
      <c r="G29" s="17"/>
      <c r="H29" s="172"/>
      <c r="I29" s="22"/>
      <c r="J29" s="22"/>
      <c r="K29" s="22"/>
      <c r="L29" s="22">
        <f>+'Expense Forecast'!F9</f>
        <v>0</v>
      </c>
      <c r="M29" s="22">
        <f>+'Expense Forecast'!G9</f>
        <v>0</v>
      </c>
      <c r="N29" s="22">
        <f>+'Expense Forecast'!H9</f>
        <v>6300.000000000001</v>
      </c>
      <c r="O29" s="22">
        <f>+'Expense Forecast'!I9</f>
        <v>7875.000000000001</v>
      </c>
      <c r="P29" s="22">
        <f>+'Expense Forecast'!J9</f>
        <v>7875.000000000001</v>
      </c>
      <c r="Q29" s="22">
        <f>+'Expense Forecast'!K9</f>
        <v>7455.000000000001</v>
      </c>
      <c r="R29" s="22">
        <f>+'Expense Forecast'!L9</f>
        <v>7770.000000000001</v>
      </c>
      <c r="S29" s="22">
        <f>+'Expense Forecast'!M9</f>
        <v>7875.000000000001</v>
      </c>
      <c r="T29" s="68">
        <f>+'Expense Forecast'!N9</f>
        <v>12915.000000000002</v>
      </c>
      <c r="U29" s="113">
        <f>+'Income Statement'!L34</f>
        <v>0.07</v>
      </c>
      <c r="V29" s="75" t="s">
        <v>77</v>
      </c>
    </row>
    <row r="30" spans="2:22" ht="12.75">
      <c r="B30" s="77"/>
      <c r="C30" s="149" t="s">
        <v>121</v>
      </c>
      <c r="D30" s="24"/>
      <c r="E30" s="24"/>
      <c r="F30" s="24"/>
      <c r="G30" s="17"/>
      <c r="H30" s="17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8"/>
      <c r="U30" s="113"/>
      <c r="V30" s="75"/>
    </row>
    <row r="31" spans="2:22" ht="12.75">
      <c r="B31" s="77"/>
      <c r="C31" s="148" t="s">
        <v>10</v>
      </c>
      <c r="D31" s="24"/>
      <c r="E31" s="24"/>
      <c r="F31" s="24"/>
      <c r="G31" s="17"/>
      <c r="H31" s="172">
        <f>+Assumptions!E11</f>
        <v>55000</v>
      </c>
      <c r="I31" s="22"/>
      <c r="J31" s="22">
        <f>+H31</f>
        <v>55000</v>
      </c>
      <c r="K31" s="22"/>
      <c r="L31" s="22">
        <f>+J31</f>
        <v>55000</v>
      </c>
      <c r="M31" s="22"/>
      <c r="N31" s="22">
        <f>+L31</f>
        <v>55000</v>
      </c>
      <c r="O31" s="22"/>
      <c r="P31" s="22">
        <f>+N31</f>
        <v>55000</v>
      </c>
      <c r="Q31" s="22"/>
      <c r="R31" s="22">
        <f>+P31</f>
        <v>55000</v>
      </c>
      <c r="S31" s="22"/>
      <c r="T31" s="68">
        <f>+R31</f>
        <v>55000</v>
      </c>
      <c r="U31" s="113"/>
      <c r="V31" s="75"/>
    </row>
    <row r="32" spans="2:21" ht="12.75">
      <c r="B32" s="77"/>
      <c r="C32" s="148" t="s">
        <v>7</v>
      </c>
      <c r="D32" s="24"/>
      <c r="E32" s="24"/>
      <c r="F32" s="24"/>
      <c r="G32" s="17"/>
      <c r="H32" s="172"/>
      <c r="I32" s="22"/>
      <c r="J32" s="22"/>
      <c r="K32" s="22">
        <f>+Assumptions!E12</f>
        <v>25000</v>
      </c>
      <c r="L32" s="22"/>
      <c r="M32" s="22"/>
      <c r="N32" s="22"/>
      <c r="O32" s="22"/>
      <c r="P32" s="22">
        <f>+K32</f>
        <v>25000</v>
      </c>
      <c r="Q32" s="22"/>
      <c r="R32" s="72"/>
      <c r="S32" s="72"/>
      <c r="T32" s="68">
        <f>+P32</f>
        <v>25000</v>
      </c>
      <c r="U32" s="71"/>
    </row>
    <row r="33" spans="2:21" ht="12.75">
      <c r="B33" s="77"/>
      <c r="C33" s="148" t="s">
        <v>66</v>
      </c>
      <c r="D33" s="24"/>
      <c r="E33" s="24"/>
      <c r="F33" s="24"/>
      <c r="G33" s="17"/>
      <c r="H33" s="172"/>
      <c r="I33" s="22"/>
      <c r="J33" s="22"/>
      <c r="K33" s="22">
        <f>+Assumptions!E13</f>
        <v>13000</v>
      </c>
      <c r="L33" s="22"/>
      <c r="M33" s="22"/>
      <c r="N33" s="22"/>
      <c r="O33" s="22"/>
      <c r="P33" s="22">
        <f>+K33</f>
        <v>13000</v>
      </c>
      <c r="Q33" s="22"/>
      <c r="R33" s="72"/>
      <c r="S33" s="72"/>
      <c r="T33" s="68">
        <f>+P33</f>
        <v>13000</v>
      </c>
      <c r="U33" s="71"/>
    </row>
    <row r="34" spans="2:20" ht="12.75">
      <c r="B34" s="77"/>
      <c r="C34" s="77"/>
      <c r="D34" s="24"/>
      <c r="E34" s="24"/>
      <c r="F34" s="24"/>
      <c r="G34" s="17"/>
      <c r="H34" s="172"/>
      <c r="I34" s="22"/>
      <c r="J34" s="22"/>
      <c r="K34" s="22"/>
      <c r="L34" s="22"/>
      <c r="M34" s="22"/>
      <c r="N34" s="22"/>
      <c r="O34" s="22"/>
      <c r="P34" s="22"/>
      <c r="Q34" s="22"/>
      <c r="R34" s="72"/>
      <c r="S34" s="72"/>
      <c r="T34" s="68"/>
    </row>
    <row r="35" spans="2:20" ht="13">
      <c r="B35" s="79" t="s">
        <v>11</v>
      </c>
      <c r="C35" s="79"/>
      <c r="D35" s="25"/>
      <c r="E35" s="25"/>
      <c r="F35" s="25"/>
      <c r="G35" s="18"/>
      <c r="H35" s="171"/>
      <c r="I35" s="20"/>
      <c r="J35" s="20"/>
      <c r="K35" s="20"/>
      <c r="L35" s="20"/>
      <c r="M35" s="20"/>
      <c r="N35" s="20"/>
      <c r="O35" s="20"/>
      <c r="P35" s="20"/>
      <c r="Q35" s="20"/>
      <c r="R35" s="72"/>
      <c r="S35" s="72"/>
      <c r="T35" s="68"/>
    </row>
    <row r="36" spans="2:20" ht="12.75">
      <c r="B36" s="77"/>
      <c r="C36" s="77" t="s">
        <v>12</v>
      </c>
      <c r="D36" s="24"/>
      <c r="E36" s="24"/>
      <c r="F36" s="24"/>
      <c r="G36" s="17"/>
      <c r="H36" s="172"/>
      <c r="I36" s="22"/>
      <c r="J36" s="22"/>
      <c r="K36" s="22"/>
      <c r="L36" s="22"/>
      <c r="M36" s="22"/>
      <c r="N36" s="22"/>
      <c r="O36" s="22"/>
      <c r="P36" s="22"/>
      <c r="Q36" s="22"/>
      <c r="R36" s="72"/>
      <c r="S36" s="72"/>
      <c r="T36" s="68"/>
    </row>
    <row r="37" spans="2:20" ht="12.75">
      <c r="B37" s="77"/>
      <c r="C37" s="77" t="s">
        <v>68</v>
      </c>
      <c r="D37" s="24"/>
      <c r="E37" s="24"/>
      <c r="F37" s="24"/>
      <c r="G37" s="17"/>
      <c r="H37" s="172"/>
      <c r="I37" s="22"/>
      <c r="J37" s="22"/>
      <c r="K37" s="22">
        <v>2000</v>
      </c>
      <c r="L37" s="22"/>
      <c r="M37" s="22"/>
      <c r="N37" s="22"/>
      <c r="O37" s="22"/>
      <c r="P37" s="22">
        <v>2000</v>
      </c>
      <c r="Q37" s="22"/>
      <c r="R37" s="72"/>
      <c r="S37" s="72"/>
      <c r="T37" s="68">
        <v>2000</v>
      </c>
    </row>
    <row r="38" spans="2:20" ht="12.75">
      <c r="B38" s="77"/>
      <c r="C38" s="77" t="s">
        <v>13</v>
      </c>
      <c r="D38" s="24"/>
      <c r="E38" s="24"/>
      <c r="F38" s="24"/>
      <c r="G38" s="17"/>
      <c r="H38" s="172"/>
      <c r="I38" s="22"/>
      <c r="J38" s="22"/>
      <c r="K38" s="22"/>
      <c r="L38" s="22"/>
      <c r="M38" s="22"/>
      <c r="N38" s="22"/>
      <c r="O38" s="22"/>
      <c r="P38" s="22"/>
      <c r="Q38" s="22"/>
      <c r="R38" s="72"/>
      <c r="S38" s="72"/>
      <c r="T38" s="68"/>
    </row>
    <row r="39" spans="2:20" ht="12.75">
      <c r="B39" s="77"/>
      <c r="C39" s="77" t="s">
        <v>3</v>
      </c>
      <c r="D39" s="25"/>
      <c r="E39" s="25"/>
      <c r="F39" s="25"/>
      <c r="G39" s="18"/>
      <c r="H39" s="171"/>
      <c r="I39" s="20"/>
      <c r="J39" s="20"/>
      <c r="K39" s="20"/>
      <c r="L39" s="20"/>
      <c r="M39" s="20"/>
      <c r="N39" s="20"/>
      <c r="O39" s="20"/>
      <c r="P39" s="20"/>
      <c r="Q39" s="20"/>
      <c r="R39" s="72"/>
      <c r="S39" s="72"/>
      <c r="T39" s="68"/>
    </row>
    <row r="40" spans="2:20" ht="12.75">
      <c r="B40" s="77"/>
      <c r="C40" s="77"/>
      <c r="D40" s="24"/>
      <c r="E40" s="24"/>
      <c r="F40" s="24"/>
      <c r="G40" s="17"/>
      <c r="H40" s="172"/>
      <c r="I40" s="22"/>
      <c r="J40" s="22"/>
      <c r="K40" s="22"/>
      <c r="L40" s="22"/>
      <c r="M40" s="22"/>
      <c r="N40" s="22"/>
      <c r="O40" s="22"/>
      <c r="P40" s="22"/>
      <c r="Q40" s="22"/>
      <c r="R40" s="72"/>
      <c r="S40" s="72"/>
      <c r="T40" s="68"/>
    </row>
    <row r="41" spans="2:20" ht="13">
      <c r="B41" s="78"/>
      <c r="C41" s="78" t="s">
        <v>14</v>
      </c>
      <c r="D41" s="50"/>
      <c r="E41" s="50"/>
      <c r="F41" s="50"/>
      <c r="G41" s="47"/>
      <c r="H41" s="170">
        <f aca="true" t="shared" si="5" ref="H41:T41">SUM(H25:H40)</f>
        <v>144000</v>
      </c>
      <c r="I41" s="50">
        <f t="shared" si="5"/>
        <v>65000</v>
      </c>
      <c r="J41" s="50">
        <f t="shared" si="5"/>
        <v>138000</v>
      </c>
      <c r="K41" s="50">
        <f t="shared" si="5"/>
        <v>105000</v>
      </c>
      <c r="L41" s="50">
        <f t="shared" si="5"/>
        <v>137400</v>
      </c>
      <c r="M41" s="50">
        <f t="shared" si="5"/>
        <v>65000</v>
      </c>
      <c r="N41" s="50">
        <f t="shared" si="5"/>
        <v>149700</v>
      </c>
      <c r="O41" s="50">
        <f t="shared" si="5"/>
        <v>70875.00000000001</v>
      </c>
      <c r="P41" s="50">
        <f t="shared" si="5"/>
        <v>184475</v>
      </c>
      <c r="Q41" s="50">
        <f t="shared" si="5"/>
        <v>67095.00000000001</v>
      </c>
      <c r="R41" s="50">
        <f t="shared" si="5"/>
        <v>145930</v>
      </c>
      <c r="S41" s="50">
        <f t="shared" si="5"/>
        <v>70875.00000000001</v>
      </c>
      <c r="T41" s="50">
        <f t="shared" si="5"/>
        <v>234635.00000000003</v>
      </c>
    </row>
    <row r="42" spans="2:20" ht="13.5" thickBot="1">
      <c r="B42" s="79"/>
      <c r="C42" s="82"/>
      <c r="D42" s="33"/>
      <c r="E42" s="33"/>
      <c r="F42" s="33"/>
      <c r="G42" s="158"/>
      <c r="H42" s="173"/>
      <c r="I42" s="34"/>
      <c r="J42" s="34"/>
      <c r="K42" s="34"/>
      <c r="L42" s="34"/>
      <c r="M42" s="34"/>
      <c r="N42" s="34"/>
      <c r="O42" s="34"/>
      <c r="P42" s="34"/>
      <c r="Q42" s="34"/>
      <c r="R42" s="73"/>
      <c r="S42" s="73"/>
      <c r="T42" s="74"/>
    </row>
    <row r="43" spans="2:20" ht="14" thickBot="1" thickTop="1">
      <c r="B43" s="78" t="s">
        <v>15</v>
      </c>
      <c r="C43" s="83"/>
      <c r="D43" s="52"/>
      <c r="E43" s="52"/>
      <c r="F43" s="52"/>
      <c r="G43" s="159"/>
      <c r="H43" s="174">
        <f aca="true" t="shared" si="6" ref="H43:T43">H21-H41</f>
        <v>56000</v>
      </c>
      <c r="I43" s="48">
        <f t="shared" si="6"/>
        <v>91000</v>
      </c>
      <c r="J43" s="48">
        <f t="shared" si="6"/>
        <v>53000</v>
      </c>
      <c r="K43" s="48">
        <f t="shared" si="6"/>
        <v>48000</v>
      </c>
      <c r="L43" s="48">
        <f t="shared" si="6"/>
        <v>10600</v>
      </c>
      <c r="M43" s="48">
        <f t="shared" si="6"/>
        <v>45600</v>
      </c>
      <c r="N43" s="48">
        <f t="shared" si="6"/>
        <v>15900</v>
      </c>
      <c r="O43" s="48">
        <f t="shared" si="6"/>
        <v>57524.999999999985</v>
      </c>
      <c r="P43" s="48">
        <f t="shared" si="6"/>
        <v>-93200.00000000001</v>
      </c>
      <c r="Q43" s="48">
        <f t="shared" si="6"/>
        <v>-59045.00000000003</v>
      </c>
      <c r="R43" s="48">
        <f t="shared" si="6"/>
        <v>-151725.00000000003</v>
      </c>
      <c r="S43" s="48">
        <f t="shared" si="6"/>
        <v>-47100.000000000044</v>
      </c>
      <c r="T43" s="53">
        <f t="shared" si="6"/>
        <v>-90485.00000000009</v>
      </c>
    </row>
    <row r="44" spans="2:20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66"/>
      <c r="S44" s="66"/>
      <c r="T44" s="66"/>
    </row>
    <row r="45" spans="2:20" ht="12.7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66"/>
      <c r="S45" s="66"/>
      <c r="T45" s="66"/>
    </row>
    <row r="46" spans="2:20" ht="13">
      <c r="B46" s="84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</sheetData>
  <printOptions/>
  <pageMargins left="0.75" right="0.75" top="1" bottom="1" header="0.5" footer="0.5"/>
  <pageSetup fitToHeight="1" fitToWidth="1" horizontalDpi="600" verticalDpi="600" orientation="landscape" scale="53" r:id="rId1"/>
  <headerFooter alignWithMargins="0">
    <oddHeader>&amp;LPage &amp;P&amp;R&amp;D</oddHeader>
    <oddFooter>&amp;CCompany Confidential - Do Not Distribute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"/>
  <sheetViews>
    <sheetView zoomScale="85" zoomScaleNormal="85" workbookViewId="0" topLeftCell="A1">
      <selection activeCell="C25" sqref="C25"/>
    </sheetView>
  </sheetViews>
  <sheetFormatPr defaultColWidth="9.140625" defaultRowHeight="12.75"/>
  <cols>
    <col min="1" max="1" width="41.8515625" style="0" customWidth="1"/>
    <col min="2" max="2" width="13.57421875" style="0" customWidth="1"/>
    <col min="3" max="14" width="12.57421875" style="0" customWidth="1"/>
  </cols>
  <sheetData>
    <row r="1" ht="13.5" thickBot="1">
      <c r="A1" s="80"/>
    </row>
    <row r="2" spans="2:14" ht="13">
      <c r="B2" s="39" t="s">
        <v>16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40" t="s">
        <v>29</v>
      </c>
    </row>
    <row r="3" spans="1:14" ht="13">
      <c r="A3" s="1"/>
      <c r="B3" s="35">
        <f>+'Cash Flow Forecast'!H9</f>
        <v>43955</v>
      </c>
      <c r="C3" s="36">
        <f aca="true" t="shared" si="0" ref="C3:N3">B3+7</f>
        <v>43962</v>
      </c>
      <c r="D3" s="36">
        <f t="shared" si="0"/>
        <v>43969</v>
      </c>
      <c r="E3" s="36">
        <f t="shared" si="0"/>
        <v>43976</v>
      </c>
      <c r="F3" s="36">
        <f t="shared" si="0"/>
        <v>43983</v>
      </c>
      <c r="G3" s="36">
        <f t="shared" si="0"/>
        <v>43990</v>
      </c>
      <c r="H3" s="36">
        <f t="shared" si="0"/>
        <v>43997</v>
      </c>
      <c r="I3" s="36">
        <f t="shared" si="0"/>
        <v>44004</v>
      </c>
      <c r="J3" s="36">
        <f t="shared" si="0"/>
        <v>44011</v>
      </c>
      <c r="K3" s="36">
        <f t="shared" si="0"/>
        <v>44018</v>
      </c>
      <c r="L3" s="36">
        <f t="shared" si="0"/>
        <v>44025</v>
      </c>
      <c r="M3" s="36">
        <f t="shared" si="0"/>
        <v>44032</v>
      </c>
      <c r="N3" s="37">
        <f t="shared" si="0"/>
        <v>44039</v>
      </c>
    </row>
    <row r="4" spans="1:14" ht="13.5" thickBot="1">
      <c r="A4" s="89" t="s">
        <v>43</v>
      </c>
      <c r="B4" s="7" t="s">
        <v>17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8"/>
    </row>
    <row r="5" spans="1:14" ht="12.75">
      <c r="A5" s="66" t="s">
        <v>41</v>
      </c>
      <c r="B5" s="90">
        <f>+'Cash Flow Forecast'!H2</f>
        <v>150000</v>
      </c>
      <c r="C5" s="90">
        <f>+'Cash Flow Forecast'!I2</f>
        <v>150000</v>
      </c>
      <c r="D5" s="90">
        <f>+'Cash Flow Forecast'!J2</f>
        <v>150000</v>
      </c>
      <c r="E5" s="90">
        <f>+'Cash Flow Forecast'!K2</f>
        <v>150000</v>
      </c>
      <c r="F5" s="90">
        <f>+'Cash Flow Forecast'!L2</f>
        <v>150000</v>
      </c>
      <c r="G5" s="90">
        <f>+'Cash Flow Forecast'!M2</f>
        <v>150000</v>
      </c>
      <c r="H5" s="90">
        <f>+'Cash Flow Forecast'!N2</f>
        <v>150000</v>
      </c>
      <c r="I5" s="90">
        <f>+'Cash Flow Forecast'!O2</f>
        <v>150000</v>
      </c>
      <c r="J5" s="90">
        <f>+'Cash Flow Forecast'!P2</f>
        <v>150000</v>
      </c>
      <c r="K5" s="90">
        <f>+'Cash Flow Forecast'!Q2</f>
        <v>150000</v>
      </c>
      <c r="L5" s="90">
        <f>+'Cash Flow Forecast'!R2</f>
        <v>150000</v>
      </c>
      <c r="M5" s="90">
        <f>+'Cash Flow Forecast'!S2</f>
        <v>150000</v>
      </c>
      <c r="N5" s="90">
        <f>+'Cash Flow Forecast'!T2</f>
        <v>150000</v>
      </c>
    </row>
    <row r="6" spans="1:14" ht="12.75">
      <c r="A6" s="66"/>
      <c r="B6" s="9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2.75">
      <c r="A7" s="66" t="s">
        <v>38</v>
      </c>
      <c r="B7" s="91">
        <f>+'Cash Flow Forecast'!H3</f>
        <v>0.75</v>
      </c>
      <c r="C7" s="91">
        <f>+'Cash Flow Forecast'!I3</f>
        <v>0.75</v>
      </c>
      <c r="D7" s="91">
        <f>+'Cash Flow Forecast'!J3</f>
        <v>0.75</v>
      </c>
      <c r="E7" s="91">
        <f>+'Cash Flow Forecast'!K3</f>
        <v>0.7</v>
      </c>
      <c r="F7" s="91">
        <f>+'Cash Flow Forecast'!L3</f>
        <v>0.75</v>
      </c>
      <c r="G7" s="91">
        <f>+'Cash Flow Forecast'!M3</f>
        <v>0.75</v>
      </c>
      <c r="H7" s="91">
        <f>+'Cash Flow Forecast'!N3</f>
        <v>0.75</v>
      </c>
      <c r="I7" s="91">
        <f>+'Cash Flow Forecast'!O3</f>
        <v>0.8</v>
      </c>
      <c r="J7" s="91">
        <f>+'Cash Flow Forecast'!P3</f>
        <v>0.85</v>
      </c>
      <c r="K7" s="91">
        <f>+'Cash Flow Forecast'!Q3</f>
        <v>0.9</v>
      </c>
      <c r="L7" s="91">
        <f>+'Cash Flow Forecast'!R3</f>
        <v>0.95</v>
      </c>
      <c r="M7" s="91">
        <f>+'Cash Flow Forecast'!S3</f>
        <v>1</v>
      </c>
      <c r="N7" s="91">
        <f>+'Cash Flow Forecast'!T3</f>
        <v>1</v>
      </c>
    </row>
    <row r="8" spans="1:14" ht="12.75">
      <c r="A8" s="66" t="s">
        <v>39</v>
      </c>
      <c r="B8" s="92">
        <f aca="true" t="shared" si="1" ref="B8:N8">+B5*B7</f>
        <v>112500</v>
      </c>
      <c r="C8" s="72">
        <f t="shared" si="1"/>
        <v>112500</v>
      </c>
      <c r="D8" s="72">
        <f t="shared" si="1"/>
        <v>112500</v>
      </c>
      <c r="E8" s="72">
        <f t="shared" si="1"/>
        <v>105000</v>
      </c>
      <c r="F8" s="72">
        <f t="shared" si="1"/>
        <v>112500</v>
      </c>
      <c r="G8" s="72">
        <f t="shared" si="1"/>
        <v>112500</v>
      </c>
      <c r="H8" s="72">
        <f t="shared" si="1"/>
        <v>112500</v>
      </c>
      <c r="I8" s="72">
        <f t="shared" si="1"/>
        <v>120000</v>
      </c>
      <c r="J8" s="72">
        <f t="shared" si="1"/>
        <v>127500</v>
      </c>
      <c r="K8" s="72">
        <f t="shared" si="1"/>
        <v>135000</v>
      </c>
      <c r="L8" s="72">
        <f t="shared" si="1"/>
        <v>142500</v>
      </c>
      <c r="M8" s="72">
        <f t="shared" si="1"/>
        <v>150000</v>
      </c>
      <c r="N8" s="72">
        <f t="shared" si="1"/>
        <v>150000</v>
      </c>
    </row>
    <row r="9" spans="1:14" ht="12.75">
      <c r="A9" s="1"/>
      <c r="B9" s="9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1"/>
      <c r="B10" s="9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2.75">
      <c r="A11" s="1" t="s">
        <v>34</v>
      </c>
      <c r="B11" s="93"/>
      <c r="C11" s="69"/>
      <c r="D11" s="69"/>
      <c r="E11" s="69"/>
      <c r="F11" s="72">
        <f>+B8*'Lookup tab'!B16</f>
        <v>0</v>
      </c>
      <c r="G11" s="72">
        <f>+B8*'Lookup tab'!B17+C8*'Lookup tab'!C16</f>
        <v>0</v>
      </c>
      <c r="H11" s="72">
        <f>+C8*'Lookup tab'!C17+D8*'Lookup tab'!D16+B8*'Lookup tab'!B18</f>
        <v>90000</v>
      </c>
      <c r="I11" s="72">
        <f>+D8*'Lookup tab'!D17+E8*'Lookup tab'!E16+B8*'Lookup tab'!B19+C8*'Lookup tab'!C18</f>
        <v>112500</v>
      </c>
      <c r="J11" s="72">
        <f>+E8*'Lookup tab'!E17+F8*'Lookup tab'!F16+D8*'Lookup tab'!D18+C8*'Lookup tab'!C19+B8*'Lookup tab'!B20</f>
        <v>33750</v>
      </c>
      <c r="K11" s="72">
        <f>+E8*'Lookup tab'!E18+F8*'Lookup tab'!F17+G8*'Lookup tab'!G16+D8*'Lookup tab'!D19+C8*'Lookup tab'!C20+B8*'Lookup tab'!B21</f>
        <v>101250</v>
      </c>
      <c r="L11" s="72">
        <f>+F8*'Lookup tab'!F18+G8*'Lookup tab'!G17+H8*'Lookup tab'!H16+E8*'Lookup tab'!E19+D8*'Lookup tab'!D20+C8*'Lookup tab'!C21+B8*'Lookup tab'!B22</f>
        <v>53250</v>
      </c>
      <c r="M11" s="72">
        <f>+G8*'Lookup tab'!G18+H8*'Lookup tab'!H17+I8*'Lookup tab'!I16+F8*'Lookup tab'!F19+E8*'Lookup tab'!E20+D8*'Lookup tab'!D21+C8*'Lookup tab'!C22</f>
        <v>175500</v>
      </c>
      <c r="N11" s="72">
        <f>+H8*'Lookup tab'!H18+I8*'Lookup tab'!I17+J8*'Lookup tab'!J16+G8*'Lookup tab'!G19+F8*'Lookup tab'!F20+E8*'Lookup tab'!E21+D8*'Lookup tab'!D22</f>
        <v>191250</v>
      </c>
    </row>
    <row r="12" spans="1:14" ht="12.75">
      <c r="A12" s="1"/>
      <c r="B12" s="9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>
      <c r="A13" s="1"/>
      <c r="B13" s="9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3" thickBot="1">
      <c r="A14" s="1"/>
      <c r="B14" s="9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3.5" thickBot="1" thickTop="1">
      <c r="A15" s="96" t="s">
        <v>42</v>
      </c>
      <c r="B15" s="15">
        <f aca="true" t="shared" si="2" ref="B15:N15">+B11</f>
        <v>0</v>
      </c>
      <c r="C15" s="15">
        <f t="shared" si="2"/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90000</v>
      </c>
      <c r="I15" s="15">
        <f t="shared" si="2"/>
        <v>112500</v>
      </c>
      <c r="J15" s="15">
        <f t="shared" si="2"/>
        <v>33750</v>
      </c>
      <c r="K15" s="15">
        <f t="shared" si="2"/>
        <v>101250</v>
      </c>
      <c r="L15" s="15">
        <f t="shared" si="2"/>
        <v>53250</v>
      </c>
      <c r="M15" s="15">
        <f t="shared" si="2"/>
        <v>175500</v>
      </c>
      <c r="N15" s="15">
        <f t="shared" si="2"/>
        <v>191250</v>
      </c>
    </row>
    <row r="16" spans="1:14" s="155" customFormat="1" ht="12.75">
      <c r="A16" s="75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s="155" customFormat="1" ht="12.75">
      <c r="A17" s="75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ht="12.75">
      <c r="B18" s="97"/>
    </row>
  </sheetData>
  <printOptions/>
  <pageMargins left="0.75" right="0.75" top="1" bottom="1" header="0.5" footer="0.5"/>
  <pageSetup fitToHeight="2" horizontalDpi="600" verticalDpi="600" orientation="landscape" scale="53" r:id="rId3"/>
  <headerFooter alignWithMargins="0">
    <oddHeader>&amp;R&amp;D</oddHeader>
    <oddFooter>&amp;CCompany Confidential - Do Not Copy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41.8515625" style="0" customWidth="1"/>
    <col min="2" max="2" width="13.57421875" style="0" customWidth="1"/>
    <col min="3" max="14" width="12.57421875" style="0" customWidth="1"/>
  </cols>
  <sheetData>
    <row r="1" ht="13.5" thickBot="1">
      <c r="A1" s="80"/>
    </row>
    <row r="2" spans="2:14" ht="13">
      <c r="B2" s="136" t="s">
        <v>16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137" t="s">
        <v>29</v>
      </c>
    </row>
    <row r="3" spans="1:14" ht="13">
      <c r="A3" s="1"/>
      <c r="B3" s="35">
        <f>+'Cash Flow Forecast'!H9</f>
        <v>43955</v>
      </c>
      <c r="C3" s="36">
        <f>B3+7</f>
        <v>43962</v>
      </c>
      <c r="D3" s="36">
        <f>C3+7</f>
        <v>43969</v>
      </c>
      <c r="E3" s="36">
        <f aca="true" t="shared" si="0" ref="E3:N3">D3+7</f>
        <v>43976</v>
      </c>
      <c r="F3" s="36">
        <f t="shared" si="0"/>
        <v>43983</v>
      </c>
      <c r="G3" s="36">
        <f t="shared" si="0"/>
        <v>43990</v>
      </c>
      <c r="H3" s="36">
        <f t="shared" si="0"/>
        <v>43997</v>
      </c>
      <c r="I3" s="36">
        <f t="shared" si="0"/>
        <v>44004</v>
      </c>
      <c r="J3" s="36">
        <f t="shared" si="0"/>
        <v>44011</v>
      </c>
      <c r="K3" s="36">
        <f t="shared" si="0"/>
        <v>44018</v>
      </c>
      <c r="L3" s="36">
        <f t="shared" si="0"/>
        <v>44025</v>
      </c>
      <c r="M3" s="36">
        <f t="shared" si="0"/>
        <v>44032</v>
      </c>
      <c r="N3" s="37">
        <f t="shared" si="0"/>
        <v>44039</v>
      </c>
    </row>
    <row r="4" spans="1:14" ht="13.5" thickBot="1">
      <c r="A4" s="89" t="s">
        <v>43</v>
      </c>
      <c r="B4" s="7" t="s">
        <v>17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8"/>
    </row>
    <row r="5" spans="1:14" ht="12.75">
      <c r="A5" s="66" t="s">
        <v>39</v>
      </c>
      <c r="B5" s="92">
        <f>+'Cash Flow Forecast'!H4</f>
        <v>112500</v>
      </c>
      <c r="C5" s="92">
        <f>+'Cash Flow Forecast'!I4</f>
        <v>112500</v>
      </c>
      <c r="D5" s="92">
        <f>+'Cash Flow Forecast'!J4</f>
        <v>112500</v>
      </c>
      <c r="E5" s="92">
        <f>+'Cash Flow Forecast'!K4</f>
        <v>105000</v>
      </c>
      <c r="F5" s="92">
        <f>+'Cash Flow Forecast'!L4</f>
        <v>112500</v>
      </c>
      <c r="G5" s="92">
        <f>+'Cash Flow Forecast'!M4</f>
        <v>112500</v>
      </c>
      <c r="H5" s="92">
        <f>+'Cash Flow Forecast'!N4</f>
        <v>112500</v>
      </c>
      <c r="I5" s="92">
        <f>+'Cash Flow Forecast'!O4</f>
        <v>120000</v>
      </c>
      <c r="J5" s="92">
        <f>+'Cash Flow Forecast'!P4</f>
        <v>127500</v>
      </c>
      <c r="K5" s="92">
        <f>+'Cash Flow Forecast'!Q4</f>
        <v>135000</v>
      </c>
      <c r="L5" s="92">
        <f>+'Cash Flow Forecast'!R4</f>
        <v>142500</v>
      </c>
      <c r="M5" s="92">
        <f>+'Cash Flow Forecast'!S4</f>
        <v>150000</v>
      </c>
      <c r="N5" s="92">
        <f>+'Cash Flow Forecast'!T4</f>
        <v>150000</v>
      </c>
    </row>
    <row r="6" spans="1:14" ht="12.75">
      <c r="A6" s="1"/>
      <c r="B6" s="9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2.75">
      <c r="A7" s="1"/>
      <c r="B7" s="9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6" ht="12.75">
      <c r="A8" s="1" t="s">
        <v>113</v>
      </c>
      <c r="B8" s="93"/>
      <c r="C8" s="69"/>
      <c r="D8" s="69"/>
      <c r="E8" s="69"/>
      <c r="F8" s="72">
        <f>+$B$5*'Lookup tab'!$B$27*$O8</f>
        <v>0</v>
      </c>
      <c r="G8" s="72">
        <f>($B$5*'Lookup tab'!$B$28+$C$5*'Lookup tab'!$C$27)*$O8</f>
        <v>0</v>
      </c>
      <c r="H8" s="72">
        <f>($C$5*'Lookup tab'!$C$28+$D$5*'Lookup tab'!$D$27+$B$5*'Lookup tab'!$B$29)*$O8</f>
        <v>50400.00000000001</v>
      </c>
      <c r="I8" s="72">
        <f>($D$5*'Lookup tab'!$D$28+$E$5*'Lookup tab'!$E$27+$B$5*'Lookup tab'!$B$30+$C$5*'Lookup tab'!$C$29)*$O8</f>
        <v>63000.00000000001</v>
      </c>
      <c r="J8" s="72">
        <f>($E$5*'Lookup tab'!$E$28+$F$5*'Lookup tab'!$F$27+$D$5*'Lookup tab'!$D$29+$C$5*'Lookup tab'!$C$30+$B$5*'Lookup tab'!$B$31)*$O8</f>
        <v>63000.00000000001</v>
      </c>
      <c r="K8" s="72">
        <f>($E$5*'Lookup tab'!$E$29+$F$5*'Lookup tab'!$F$28+$G$5*'Lookup tab'!$G$27+$D$5*'Lookup tab'!$D$30+$C$5*'Lookup tab'!$C$31+$B$5*'Lookup tab'!$B$32)*$O8</f>
        <v>59640.00000000001</v>
      </c>
      <c r="L8" s="72">
        <f>($F$5*'Lookup tab'!$F$29+$G$5*'Lookup tab'!$G$28+$H$5*'Lookup tab'!$H$27+$E$5*'Lookup tab'!$E$30+$D$5*'Lookup tab'!$D$31+$C$5*'Lookup tab'!$C$32+$B$5*'Lookup tab'!$B$33)*$O8</f>
        <v>62160.00000000001</v>
      </c>
      <c r="M8" s="72">
        <f>(G$5*'Lookup tab'!$G$29+H$5*'Lookup tab'!$H$28+I$5*'Lookup tab'!$I$27+F$5*'Lookup tab'!$F$30+E$5*'Lookup tab'!$E$31+D$5*'Lookup tab'!$D$32+C$5*'Lookup tab'!$C$33)*$O8</f>
        <v>63000.00000000001</v>
      </c>
      <c r="N8" s="72">
        <f>(H$5*'Lookup tab'!$H$29+I$5*'Lookup tab'!$I$28+J$5*'Lookup tab'!$J$27+G$5*'Lookup tab'!$G$30+F$5*'Lookup tab'!$F$31+E$5*'Lookup tab'!$E$32+D$5*'Lookup tab'!$D$33)*$O8</f>
        <v>103320.00000000001</v>
      </c>
      <c r="O8" s="134">
        <f>'Cash Flow Forecast'!U27</f>
        <v>0.56</v>
      </c>
      <c r="P8" t="s">
        <v>114</v>
      </c>
    </row>
    <row r="9" spans="1:16" ht="12.75">
      <c r="A9" s="138" t="s">
        <v>115</v>
      </c>
      <c r="B9" s="93"/>
      <c r="C9" s="69"/>
      <c r="D9" s="69"/>
      <c r="E9" s="69"/>
      <c r="F9" s="72">
        <f>+$B$5*'Lookup tab'!$B$27*$O9</f>
        <v>0</v>
      </c>
      <c r="G9" s="72">
        <f>($B$5*'Lookup tab'!$B$28+$C$5*'Lookup tab'!$C$27)*$O9</f>
        <v>0</v>
      </c>
      <c r="H9" s="72">
        <f>($C$5*'Lookup tab'!$C$28+$D$5*'Lookup tab'!$D$27+$B$5*'Lookup tab'!$B$29)*$O9</f>
        <v>6300.000000000001</v>
      </c>
      <c r="I9" s="72">
        <f>($D$5*'Lookup tab'!$D$28+$E$5*'Lookup tab'!$E$27+$B$5*'Lookup tab'!$B$30+$C$5*'Lookup tab'!$C$29)*$O9</f>
        <v>7875.000000000001</v>
      </c>
      <c r="J9" s="72">
        <f>($E$5*'Lookup tab'!$E$28+$F$5*'Lookup tab'!$F$27+$D$5*'Lookup tab'!$D$29+$C$5*'Lookup tab'!$C$30+$B$5*'Lookup tab'!$B$31)*$O9</f>
        <v>7875.000000000001</v>
      </c>
      <c r="K9" s="72">
        <f>($E$5*'Lookup tab'!$E$29+$F$5*'Lookup tab'!$F$28+$G$5*'Lookup tab'!$G$27+$D$5*'Lookup tab'!$D$30+$C$5*'Lookup tab'!$C$31+$B$5*'Lookup tab'!$B$32)*$O9</f>
        <v>7455.000000000001</v>
      </c>
      <c r="L9" s="72">
        <f>($F$5*'Lookup tab'!$F$29+$G$5*'Lookup tab'!$G$28+$H$5*'Lookup tab'!$H$27+$E$5*'Lookup tab'!$E$30+$D$5*'Lookup tab'!$D$31+$C$5*'Lookup tab'!$C$32+$B$5*'Lookup tab'!$B$33)*$O9</f>
        <v>7770.000000000001</v>
      </c>
      <c r="M9" s="72">
        <f>(G$5*'Lookup tab'!$G$29+H$5*'Lookup tab'!$H$28+I$5*'Lookup tab'!$I$27+F$5*'Lookup tab'!$F$30+E$5*'Lookup tab'!$E$31+D$5*'Lookup tab'!$D$32+C$5*'Lookup tab'!$C$33)*$O9</f>
        <v>7875.000000000001</v>
      </c>
      <c r="N9" s="72">
        <f>(H$5*'Lookup tab'!$H$29+I$5*'Lookup tab'!$I$28+J$5*'Lookup tab'!$J$27+G$5*'Lookup tab'!$G$30+F$5*'Lookup tab'!$F$31+E$5*'Lookup tab'!$E$32+D$5*'Lookup tab'!$D$33)*$O9</f>
        <v>12915.000000000002</v>
      </c>
      <c r="O9" s="134">
        <f>+'Cash Flow Forecast'!U29</f>
        <v>0.07</v>
      </c>
      <c r="P9" t="s">
        <v>116</v>
      </c>
    </row>
    <row r="10" spans="1:14" ht="12.75">
      <c r="A10" s="1"/>
      <c r="B10" s="9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3" thickBot="1">
      <c r="A11" s="1"/>
      <c r="B11" s="9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3.5" thickBot="1" thickTop="1">
      <c r="A12" s="96" t="s">
        <v>42</v>
      </c>
      <c r="B12" s="15">
        <f>+B8</f>
        <v>0</v>
      </c>
      <c r="C12" s="15">
        <f aca="true" t="shared" si="1" ref="C12:N12">+C8</f>
        <v>0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50400.00000000001</v>
      </c>
      <c r="I12" s="15">
        <f t="shared" si="1"/>
        <v>63000.00000000001</v>
      </c>
      <c r="J12" s="15">
        <f t="shared" si="1"/>
        <v>63000.00000000001</v>
      </c>
      <c r="K12" s="15">
        <f t="shared" si="1"/>
        <v>59640.00000000001</v>
      </c>
      <c r="L12" s="15">
        <f t="shared" si="1"/>
        <v>62160.00000000001</v>
      </c>
      <c r="M12" s="15">
        <f t="shared" si="1"/>
        <v>63000.00000000001</v>
      </c>
      <c r="N12" s="15">
        <f t="shared" si="1"/>
        <v>103320.00000000001</v>
      </c>
    </row>
    <row r="13" spans="1:14" s="155" customFormat="1" ht="12.75">
      <c r="A13" s="75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s="155" customFormat="1" ht="12.75">
      <c r="A14" s="75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ht="12.75">
      <c r="B15" s="97"/>
    </row>
  </sheetData>
  <printOptions/>
  <pageMargins left="0.75" right="0.75" top="1" bottom="1" header="0.5" footer="0.5"/>
  <pageSetup fitToHeight="2" horizontalDpi="600" verticalDpi="600" orientation="landscape" scale="53" r:id="rId1"/>
  <headerFooter alignWithMargins="0">
    <oddHeader>&amp;R&amp;D</oddHeader>
    <oddFooter>&amp;CCompany Confidential - Do Not Copy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8"/>
  <sheetViews>
    <sheetView zoomScale="85" zoomScaleNormal="85" workbookViewId="0" topLeftCell="A1">
      <selection activeCell="D6" sqref="D6"/>
    </sheetView>
  </sheetViews>
  <sheetFormatPr defaultColWidth="9.140625" defaultRowHeight="12.75"/>
  <cols>
    <col min="1" max="1" width="14.421875" style="0" customWidth="1"/>
    <col min="2" max="2" width="17.140625" style="0" customWidth="1"/>
    <col min="3" max="5" width="14.8515625" style="0" customWidth="1"/>
    <col min="6" max="6" width="13.57421875" style="0" customWidth="1"/>
    <col min="7" max="18" width="12.57421875" style="0" customWidth="1"/>
  </cols>
  <sheetData>
    <row r="1" ht="13">
      <c r="A1" s="2"/>
    </row>
    <row r="2" ht="13.5" thickBot="1">
      <c r="A2" s="2"/>
    </row>
    <row r="3" spans="1:18" ht="13">
      <c r="A3" s="185" t="s">
        <v>33</v>
      </c>
      <c r="B3" s="186"/>
      <c r="C3" s="54"/>
      <c r="D3" s="54"/>
      <c r="E3" s="54"/>
      <c r="F3" s="38" t="s">
        <v>16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6" t="s">
        <v>29</v>
      </c>
    </row>
    <row r="4" spans="1:18" ht="13">
      <c r="A4" s="10"/>
      <c r="B4" s="9"/>
      <c r="C4" s="55"/>
      <c r="D4" s="55"/>
      <c r="E4" s="55"/>
      <c r="F4" s="35">
        <f>+'Cash Flow Forecast'!H9</f>
        <v>43955</v>
      </c>
      <c r="G4" s="36">
        <f>F4+7</f>
        <v>43962</v>
      </c>
      <c r="H4" s="36">
        <f>G4+7</f>
        <v>43969</v>
      </c>
      <c r="I4" s="36">
        <f aca="true" t="shared" si="0" ref="I4:R4">H4+7</f>
        <v>43976</v>
      </c>
      <c r="J4" s="36">
        <f t="shared" si="0"/>
        <v>43983</v>
      </c>
      <c r="K4" s="36">
        <f t="shared" si="0"/>
        <v>43990</v>
      </c>
      <c r="L4" s="36">
        <f t="shared" si="0"/>
        <v>43997</v>
      </c>
      <c r="M4" s="36">
        <f t="shared" si="0"/>
        <v>44004</v>
      </c>
      <c r="N4" s="36">
        <f t="shared" si="0"/>
        <v>44011</v>
      </c>
      <c r="O4" s="36">
        <f t="shared" si="0"/>
        <v>44018</v>
      </c>
      <c r="P4" s="36">
        <f t="shared" si="0"/>
        <v>44025</v>
      </c>
      <c r="Q4" s="36">
        <f t="shared" si="0"/>
        <v>44032</v>
      </c>
      <c r="R4" s="37">
        <f t="shared" si="0"/>
        <v>44039</v>
      </c>
    </row>
    <row r="5" spans="1:18" ht="13" thickBot="1">
      <c r="A5" s="31" t="s">
        <v>34</v>
      </c>
      <c r="B5" s="8"/>
      <c r="C5" s="56" t="s">
        <v>35</v>
      </c>
      <c r="D5" s="56" t="s">
        <v>143</v>
      </c>
      <c r="E5" s="56" t="s">
        <v>36</v>
      </c>
      <c r="F5" s="7" t="s">
        <v>17</v>
      </c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8"/>
    </row>
    <row r="6" spans="1:18" ht="12.75">
      <c r="A6" s="10" t="s">
        <v>32</v>
      </c>
      <c r="B6" s="9"/>
      <c r="C6" s="12">
        <f>SUM(F6:L6)</f>
        <v>630000</v>
      </c>
      <c r="D6" s="12"/>
      <c r="E6" s="9"/>
      <c r="F6" s="11">
        <v>100000</v>
      </c>
      <c r="G6" s="29">
        <f>+F6</f>
        <v>100000</v>
      </c>
      <c r="H6" s="29">
        <f>+G6</f>
        <v>100000</v>
      </c>
      <c r="I6" s="29">
        <f>+H6</f>
        <v>100000</v>
      </c>
      <c r="J6" s="29">
        <f>+I6</f>
        <v>100000</v>
      </c>
      <c r="K6" s="29">
        <f>+J6</f>
        <v>100000</v>
      </c>
      <c r="L6" s="29">
        <v>30000</v>
      </c>
      <c r="M6" s="29"/>
      <c r="N6" s="29"/>
      <c r="O6" s="29"/>
      <c r="P6" s="29"/>
      <c r="Q6" s="29"/>
      <c r="R6" s="12"/>
    </row>
    <row r="7" spans="1:18" ht="12.75">
      <c r="A7" s="10"/>
      <c r="B7" s="9"/>
      <c r="C7" s="9"/>
      <c r="D7" s="9"/>
      <c r="E7" s="9"/>
      <c r="F7" s="1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2"/>
    </row>
    <row r="8" spans="1:18" ht="12.75">
      <c r="A8" s="10"/>
      <c r="B8" s="9"/>
      <c r="C8" s="9"/>
      <c r="D8" s="9"/>
      <c r="E8" s="9"/>
      <c r="F8" s="1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2"/>
    </row>
    <row r="9" spans="1:18" ht="12.75">
      <c r="A9" s="10"/>
      <c r="B9" s="9"/>
      <c r="C9" s="9"/>
      <c r="D9" s="9"/>
      <c r="E9" s="9"/>
      <c r="F9" s="1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2"/>
    </row>
    <row r="10" spans="1:18" ht="12.75">
      <c r="A10" s="10"/>
      <c r="B10" s="9"/>
      <c r="C10" s="9"/>
      <c r="D10" s="9"/>
      <c r="E10" s="9"/>
      <c r="F10" s="1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2"/>
    </row>
    <row r="11" spans="1:18" ht="12.75">
      <c r="A11" s="10"/>
      <c r="B11" s="9"/>
      <c r="C11" s="9"/>
      <c r="D11" s="9"/>
      <c r="E11" s="9"/>
      <c r="F11" s="1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2"/>
    </row>
    <row r="12" spans="1:18" ht="12.75">
      <c r="A12" s="10"/>
      <c r="B12" s="9"/>
      <c r="C12" s="9"/>
      <c r="D12" s="9"/>
      <c r="E12" s="9"/>
      <c r="F12" s="1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2"/>
    </row>
    <row r="13" spans="1:18" ht="12.75">
      <c r="A13" s="10"/>
      <c r="B13" s="9"/>
      <c r="C13" s="9"/>
      <c r="D13" s="9"/>
      <c r="E13" s="9"/>
      <c r="F13" s="1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2"/>
    </row>
    <row r="14" spans="1:18" ht="12.75">
      <c r="A14" s="10"/>
      <c r="B14" s="9"/>
      <c r="C14" s="9"/>
      <c r="D14" s="9"/>
      <c r="E14" s="9"/>
      <c r="F14" s="1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2"/>
    </row>
    <row r="15" spans="1:18" ht="12.75">
      <c r="A15" s="10"/>
      <c r="B15" s="9"/>
      <c r="C15" s="9"/>
      <c r="D15" s="9"/>
      <c r="E15" s="9"/>
      <c r="F15" s="1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2"/>
    </row>
    <row r="16" spans="1:18" ht="12.75">
      <c r="A16" s="10"/>
      <c r="B16" s="9"/>
      <c r="C16" s="9"/>
      <c r="D16" s="9"/>
      <c r="E16" s="9"/>
      <c r="F16" s="1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2"/>
    </row>
    <row r="17" spans="1:18" ht="12.75">
      <c r="A17" s="10"/>
      <c r="B17" s="9"/>
      <c r="C17" s="9"/>
      <c r="D17" s="9"/>
      <c r="E17" s="9"/>
      <c r="F17" s="1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2"/>
    </row>
    <row r="18" spans="1:18" ht="12.75">
      <c r="A18" s="10"/>
      <c r="B18" s="9"/>
      <c r="C18" s="9"/>
      <c r="D18" s="9"/>
      <c r="E18" s="9"/>
      <c r="F18" s="1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2"/>
    </row>
    <row r="19" spans="1:18" ht="12.75">
      <c r="A19" s="10"/>
      <c r="B19" s="9"/>
      <c r="C19" s="9"/>
      <c r="D19" s="9"/>
      <c r="E19" s="9"/>
      <c r="F19" s="1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2"/>
    </row>
    <row r="20" spans="1:18" ht="12.75">
      <c r="A20" s="10"/>
      <c r="B20" s="9"/>
      <c r="C20" s="9"/>
      <c r="D20" s="9"/>
      <c r="E20" s="9"/>
      <c r="F20" s="1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2"/>
    </row>
    <row r="21" spans="1:18" ht="12.75">
      <c r="A21" s="10"/>
      <c r="B21" s="9"/>
      <c r="C21" s="9"/>
      <c r="D21" s="9"/>
      <c r="E21" s="9"/>
      <c r="F21" s="1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2"/>
    </row>
    <row r="22" spans="1:18" ht="12.75">
      <c r="A22" s="10"/>
      <c r="B22" s="9"/>
      <c r="C22" s="9"/>
      <c r="D22" s="9"/>
      <c r="E22" s="9"/>
      <c r="F22" s="1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2"/>
    </row>
    <row r="23" spans="1:18" ht="12.75">
      <c r="A23" s="10"/>
      <c r="B23" s="9"/>
      <c r="C23" s="9"/>
      <c r="D23" s="9"/>
      <c r="E23" s="9"/>
      <c r="F23" s="1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2"/>
    </row>
    <row r="24" spans="1:18" ht="12.75">
      <c r="A24" s="10"/>
      <c r="B24" s="9"/>
      <c r="C24" s="9"/>
      <c r="D24" s="9"/>
      <c r="E24" s="9"/>
      <c r="F24" s="1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2"/>
    </row>
    <row r="25" spans="1:18" ht="12.75">
      <c r="A25" s="10"/>
      <c r="B25" s="9"/>
      <c r="C25" s="9"/>
      <c r="D25" s="9"/>
      <c r="E25" s="9"/>
      <c r="F25" s="1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2"/>
    </row>
    <row r="26" spans="1:18" ht="12.75">
      <c r="A26" s="10"/>
      <c r="B26" s="9"/>
      <c r="C26" s="9"/>
      <c r="D26" s="9"/>
      <c r="E26" s="9"/>
      <c r="F26" s="1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2"/>
    </row>
    <row r="27" spans="1:18" ht="12.75">
      <c r="A27" s="10"/>
      <c r="B27" s="9"/>
      <c r="C27" s="9"/>
      <c r="D27" s="9"/>
      <c r="E27" s="9"/>
      <c r="F27" s="1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2"/>
    </row>
    <row r="28" spans="1:18" ht="13" thickBot="1">
      <c r="A28" s="13" t="s">
        <v>31</v>
      </c>
      <c r="B28" s="14"/>
      <c r="C28" s="14"/>
      <c r="D28" s="14"/>
      <c r="E28" s="14"/>
      <c r="F28" s="15">
        <f aca="true" t="shared" si="1" ref="F28:R28">SUM(F6:F27)</f>
        <v>100000</v>
      </c>
      <c r="G28" s="15">
        <f t="shared" si="1"/>
        <v>100000</v>
      </c>
      <c r="H28" s="15">
        <f t="shared" si="1"/>
        <v>100000</v>
      </c>
      <c r="I28" s="15">
        <f t="shared" si="1"/>
        <v>100000</v>
      </c>
      <c r="J28" s="15">
        <f t="shared" si="1"/>
        <v>100000</v>
      </c>
      <c r="K28" s="15">
        <f t="shared" si="1"/>
        <v>100000</v>
      </c>
      <c r="L28" s="15">
        <f t="shared" si="1"/>
        <v>30000</v>
      </c>
      <c r="M28" s="15">
        <f t="shared" si="1"/>
        <v>0</v>
      </c>
      <c r="N28" s="15">
        <f t="shared" si="1"/>
        <v>0</v>
      </c>
      <c r="O28" s="15">
        <f t="shared" si="1"/>
        <v>0</v>
      </c>
      <c r="P28" s="15">
        <f t="shared" si="1"/>
        <v>0</v>
      </c>
      <c r="Q28" s="15">
        <f t="shared" si="1"/>
        <v>0</v>
      </c>
      <c r="R28" s="16">
        <f t="shared" si="1"/>
        <v>0</v>
      </c>
    </row>
  </sheetData>
  <mergeCells count="1">
    <mergeCell ref="A3:B3"/>
  </mergeCells>
  <printOptions/>
  <pageMargins left="0.75" right="0.75" top="1" bottom="1" header="0.5" footer="0.5"/>
  <pageSetup fitToHeight="2" horizontalDpi="600" verticalDpi="600" orientation="landscape" scale="53" r:id="rId3"/>
  <headerFooter alignWithMargins="0">
    <oddHeader>&amp;R&amp;D</oddHeader>
    <oddFooter>&amp;CCompany Confidential - Do Not Copy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8"/>
  <sheetViews>
    <sheetView zoomScale="85" zoomScaleNormal="85" workbookViewId="0" topLeftCell="A1">
      <selection activeCell="D6" sqref="D6"/>
    </sheetView>
  </sheetViews>
  <sheetFormatPr defaultColWidth="9.140625" defaultRowHeight="12.75"/>
  <cols>
    <col min="1" max="1" width="14.421875" style="0" customWidth="1"/>
    <col min="2" max="2" width="17.140625" style="0" customWidth="1"/>
    <col min="3" max="5" width="14.8515625" style="0" customWidth="1"/>
    <col min="6" max="6" width="13.57421875" style="0" customWidth="1"/>
    <col min="7" max="18" width="12.57421875" style="0" customWidth="1"/>
  </cols>
  <sheetData>
    <row r="1" ht="13">
      <c r="A1" s="2"/>
    </row>
    <row r="2" ht="13.5" thickBot="1">
      <c r="A2" s="2"/>
    </row>
    <row r="3" spans="1:18" ht="13">
      <c r="A3" s="185" t="s">
        <v>63</v>
      </c>
      <c r="B3" s="186"/>
      <c r="C3" s="54"/>
      <c r="D3" s="54"/>
      <c r="E3" s="54"/>
      <c r="F3" s="39" t="s">
        <v>16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40" t="s">
        <v>29</v>
      </c>
    </row>
    <row r="4" spans="1:18" ht="13">
      <c r="A4" s="10"/>
      <c r="B4" s="9"/>
      <c r="C4" s="55"/>
      <c r="D4" s="55"/>
      <c r="E4" s="55"/>
      <c r="F4" s="35">
        <f>+'Cash Flow Forecast'!H9</f>
        <v>43955</v>
      </c>
      <c r="G4" s="36">
        <f>F4+7</f>
        <v>43962</v>
      </c>
      <c r="H4" s="36">
        <f>G4+7</f>
        <v>43969</v>
      </c>
      <c r="I4" s="36">
        <f aca="true" t="shared" si="0" ref="I4:R4">H4+7</f>
        <v>43976</v>
      </c>
      <c r="J4" s="36">
        <f t="shared" si="0"/>
        <v>43983</v>
      </c>
      <c r="K4" s="36">
        <f t="shared" si="0"/>
        <v>43990</v>
      </c>
      <c r="L4" s="36">
        <f t="shared" si="0"/>
        <v>43997</v>
      </c>
      <c r="M4" s="36">
        <f t="shared" si="0"/>
        <v>44004</v>
      </c>
      <c r="N4" s="36">
        <f t="shared" si="0"/>
        <v>44011</v>
      </c>
      <c r="O4" s="36">
        <f t="shared" si="0"/>
        <v>44018</v>
      </c>
      <c r="P4" s="36">
        <f t="shared" si="0"/>
        <v>44025</v>
      </c>
      <c r="Q4" s="36">
        <f t="shared" si="0"/>
        <v>44032</v>
      </c>
      <c r="R4" s="37">
        <f t="shared" si="0"/>
        <v>44039</v>
      </c>
    </row>
    <row r="5" spans="1:18" ht="13" thickBot="1">
      <c r="A5" s="31"/>
      <c r="B5" s="8"/>
      <c r="C5" s="56" t="s">
        <v>35</v>
      </c>
      <c r="D5" s="56" t="s">
        <v>143</v>
      </c>
      <c r="E5" s="56" t="s">
        <v>36</v>
      </c>
      <c r="F5" s="7" t="s">
        <v>17</v>
      </c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8"/>
    </row>
    <row r="6" spans="1:18" ht="12.75">
      <c r="A6" s="58" t="s">
        <v>64</v>
      </c>
      <c r="B6" s="9"/>
      <c r="C6" s="12">
        <f>SUM(F6:L6)</f>
        <v>410000</v>
      </c>
      <c r="D6" s="12"/>
      <c r="E6" s="9"/>
      <c r="F6" s="11">
        <v>65000</v>
      </c>
      <c r="G6" s="29">
        <f>+F6</f>
        <v>65000</v>
      </c>
      <c r="H6" s="29">
        <f>+G6</f>
        <v>65000</v>
      </c>
      <c r="I6" s="29">
        <f>+H6</f>
        <v>65000</v>
      </c>
      <c r="J6" s="29">
        <f>+I6</f>
        <v>65000</v>
      </c>
      <c r="K6" s="29">
        <f>+J6</f>
        <v>65000</v>
      </c>
      <c r="L6" s="29">
        <v>20000</v>
      </c>
      <c r="M6" s="29"/>
      <c r="N6" s="29"/>
      <c r="O6" s="29"/>
      <c r="P6" s="29"/>
      <c r="Q6" s="29"/>
      <c r="R6" s="12"/>
    </row>
    <row r="7" spans="1:18" ht="12.75">
      <c r="A7" s="10"/>
      <c r="B7" s="9"/>
      <c r="C7" s="9"/>
      <c r="D7" s="9"/>
      <c r="E7" s="9"/>
      <c r="F7" s="1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2"/>
    </row>
    <row r="8" spans="1:18" ht="12.75">
      <c r="A8" s="10"/>
      <c r="B8" s="9"/>
      <c r="C8" s="9"/>
      <c r="D8" s="9"/>
      <c r="E8" s="9"/>
      <c r="F8" s="1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2"/>
    </row>
    <row r="9" spans="1:18" ht="12.75">
      <c r="A9" s="10"/>
      <c r="B9" s="9"/>
      <c r="C9" s="9"/>
      <c r="D9" s="9"/>
      <c r="E9" s="9"/>
      <c r="F9" s="1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2"/>
    </row>
    <row r="10" spans="1:18" ht="12.75">
      <c r="A10" s="10"/>
      <c r="B10" s="9"/>
      <c r="C10" s="9"/>
      <c r="D10" s="9"/>
      <c r="E10" s="9"/>
      <c r="F10" s="1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2"/>
    </row>
    <row r="11" spans="1:18" ht="12.75">
      <c r="A11" s="10"/>
      <c r="B11" s="9"/>
      <c r="C11" s="9"/>
      <c r="D11" s="9"/>
      <c r="E11" s="9"/>
      <c r="F11" s="1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2"/>
    </row>
    <row r="12" spans="1:18" ht="12.75">
      <c r="A12" s="10"/>
      <c r="B12" s="9"/>
      <c r="C12" s="9"/>
      <c r="D12" s="9"/>
      <c r="E12" s="9"/>
      <c r="F12" s="1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2"/>
    </row>
    <row r="13" spans="1:18" ht="12.75">
      <c r="A13" s="10"/>
      <c r="B13" s="9"/>
      <c r="C13" s="9"/>
      <c r="D13" s="9"/>
      <c r="E13" s="9"/>
      <c r="F13" s="1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2"/>
    </row>
    <row r="14" spans="1:18" ht="12.75">
      <c r="A14" s="10"/>
      <c r="B14" s="9"/>
      <c r="C14" s="9"/>
      <c r="D14" s="9"/>
      <c r="E14" s="9"/>
      <c r="F14" s="1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2"/>
    </row>
    <row r="15" spans="1:18" ht="12.75">
      <c r="A15" s="10"/>
      <c r="B15" s="9"/>
      <c r="C15" s="9"/>
      <c r="D15" s="9"/>
      <c r="E15" s="9"/>
      <c r="F15" s="1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2"/>
    </row>
    <row r="16" spans="1:18" ht="12.75">
      <c r="A16" s="10"/>
      <c r="B16" s="9"/>
      <c r="C16" s="9"/>
      <c r="D16" s="9"/>
      <c r="E16" s="9"/>
      <c r="F16" s="1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2"/>
    </row>
    <row r="17" spans="1:18" ht="12.75">
      <c r="A17" s="10"/>
      <c r="B17" s="9"/>
      <c r="C17" s="9"/>
      <c r="D17" s="9"/>
      <c r="E17" s="9"/>
      <c r="F17" s="1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2"/>
    </row>
    <row r="18" spans="1:18" ht="12.75">
      <c r="A18" s="10"/>
      <c r="B18" s="9"/>
      <c r="C18" s="9"/>
      <c r="D18" s="9"/>
      <c r="E18" s="9"/>
      <c r="F18" s="1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2"/>
    </row>
    <row r="19" spans="1:18" ht="12.75">
      <c r="A19" s="10"/>
      <c r="B19" s="9"/>
      <c r="C19" s="9"/>
      <c r="D19" s="9"/>
      <c r="E19" s="9"/>
      <c r="F19" s="1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2"/>
    </row>
    <row r="20" spans="1:18" ht="12.75">
      <c r="A20" s="10"/>
      <c r="B20" s="9"/>
      <c r="C20" s="9"/>
      <c r="D20" s="9"/>
      <c r="E20" s="9"/>
      <c r="F20" s="1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2"/>
    </row>
    <row r="21" spans="1:18" ht="12.75">
      <c r="A21" s="10"/>
      <c r="B21" s="9"/>
      <c r="C21" s="9"/>
      <c r="D21" s="9"/>
      <c r="E21" s="9"/>
      <c r="F21" s="1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2"/>
    </row>
    <row r="22" spans="1:18" ht="12.75">
      <c r="A22" s="10"/>
      <c r="B22" s="9"/>
      <c r="C22" s="9"/>
      <c r="D22" s="9"/>
      <c r="E22" s="9"/>
      <c r="F22" s="1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2"/>
    </row>
    <row r="23" spans="1:18" ht="12.75">
      <c r="A23" s="10"/>
      <c r="B23" s="9"/>
      <c r="C23" s="9"/>
      <c r="D23" s="9"/>
      <c r="E23" s="9"/>
      <c r="F23" s="1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2"/>
    </row>
    <row r="24" spans="1:18" ht="12.75">
      <c r="A24" s="10"/>
      <c r="B24" s="9"/>
      <c r="C24" s="9"/>
      <c r="D24" s="9"/>
      <c r="E24" s="9"/>
      <c r="F24" s="1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2"/>
    </row>
    <row r="25" spans="1:18" ht="12.75">
      <c r="A25" s="10"/>
      <c r="B25" s="9"/>
      <c r="C25" s="9"/>
      <c r="D25" s="9"/>
      <c r="E25" s="9"/>
      <c r="F25" s="1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2"/>
    </row>
    <row r="26" spans="1:18" ht="12.75">
      <c r="A26" s="10"/>
      <c r="B26" s="9"/>
      <c r="C26" s="9"/>
      <c r="D26" s="9"/>
      <c r="E26" s="9"/>
      <c r="F26" s="1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2"/>
    </row>
    <row r="27" spans="1:18" ht="12.75">
      <c r="A27" s="10"/>
      <c r="B27" s="9"/>
      <c r="C27" s="9"/>
      <c r="D27" s="9"/>
      <c r="E27" s="9"/>
      <c r="F27" s="1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2"/>
    </row>
    <row r="28" spans="1:18" ht="13" thickBot="1">
      <c r="A28" s="13" t="s">
        <v>31</v>
      </c>
      <c r="B28" s="14"/>
      <c r="C28" s="14"/>
      <c r="D28" s="14"/>
      <c r="E28" s="14"/>
      <c r="F28" s="15">
        <f aca="true" t="shared" si="1" ref="F28:R28">SUM(F6:F27)</f>
        <v>65000</v>
      </c>
      <c r="G28" s="15">
        <f t="shared" si="1"/>
        <v>65000</v>
      </c>
      <c r="H28" s="15">
        <f t="shared" si="1"/>
        <v>65000</v>
      </c>
      <c r="I28" s="15">
        <f t="shared" si="1"/>
        <v>65000</v>
      </c>
      <c r="J28" s="15">
        <f t="shared" si="1"/>
        <v>65000</v>
      </c>
      <c r="K28" s="15">
        <f t="shared" si="1"/>
        <v>65000</v>
      </c>
      <c r="L28" s="15">
        <f t="shared" si="1"/>
        <v>20000</v>
      </c>
      <c r="M28" s="15">
        <f t="shared" si="1"/>
        <v>0</v>
      </c>
      <c r="N28" s="15">
        <f t="shared" si="1"/>
        <v>0</v>
      </c>
      <c r="O28" s="15">
        <f t="shared" si="1"/>
        <v>0</v>
      </c>
      <c r="P28" s="15">
        <f t="shared" si="1"/>
        <v>0</v>
      </c>
      <c r="Q28" s="15">
        <f t="shared" si="1"/>
        <v>0</v>
      </c>
      <c r="R28" s="16">
        <f t="shared" si="1"/>
        <v>0</v>
      </c>
    </row>
  </sheetData>
  <mergeCells count="1">
    <mergeCell ref="A3:B3"/>
  </mergeCells>
  <printOptions/>
  <pageMargins left="0.75" right="0.75" top="1" bottom="1" header="0.5" footer="0.5"/>
  <pageSetup fitToHeight="2" horizontalDpi="600" verticalDpi="600" orientation="landscape" scale="53" r:id="rId1"/>
  <headerFooter alignWithMargins="0">
    <oddHeader>&amp;R&amp;D</oddHeader>
    <oddFooter>&amp;CCompany Confidential - Do Not Copy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3"/>
  <sheetViews>
    <sheetView workbookViewId="0" topLeftCell="A1">
      <selection activeCell="I7" sqref="I7"/>
    </sheetView>
  </sheetViews>
  <sheetFormatPr defaultColWidth="9.140625" defaultRowHeight="12.75"/>
  <cols>
    <col min="1" max="1" width="32.57421875" style="0" bestFit="1" customWidth="1"/>
    <col min="2" max="16" width="8.8515625" style="0" customWidth="1"/>
  </cols>
  <sheetData>
    <row r="1" spans="11:13" ht="12.75">
      <c r="K1" s="184" t="s">
        <v>57</v>
      </c>
      <c r="L1" s="184" t="s">
        <v>58</v>
      </c>
      <c r="M1" s="184" t="s">
        <v>56</v>
      </c>
    </row>
    <row r="2" spans="1:13" ht="13" thickBot="1">
      <c r="A2" s="98"/>
      <c r="J2" s="98" t="s">
        <v>48</v>
      </c>
      <c r="K2">
        <v>1</v>
      </c>
      <c r="L2">
        <f aca="true" t="shared" si="0" ref="L2:L11">+K2+6</f>
        <v>7</v>
      </c>
      <c r="M2">
        <f aca="true" t="shared" si="1" ref="M2:M11">AVERAGE(K2:L2)</f>
        <v>4</v>
      </c>
    </row>
    <row r="3" spans="1:13" ht="12.75">
      <c r="A3" s="131" t="s">
        <v>40</v>
      </c>
      <c r="B3" s="129">
        <f aca="true" t="shared" si="2" ref="B3:H3">ROUND($M$4*B4+$M$5*B5+$M$6*B6+$M$7*B7+$M$8*B8+$M$9*B9+$M$10*B10+B11*$M$11,0)</f>
        <v>30</v>
      </c>
      <c r="C3" s="129">
        <f t="shared" si="2"/>
        <v>35</v>
      </c>
      <c r="D3" s="129">
        <f t="shared" si="2"/>
        <v>40</v>
      </c>
      <c r="E3" s="129">
        <f t="shared" si="2"/>
        <v>45</v>
      </c>
      <c r="F3" s="129">
        <f t="shared" si="2"/>
        <v>50</v>
      </c>
      <c r="G3" s="129">
        <f t="shared" si="2"/>
        <v>55</v>
      </c>
      <c r="H3" s="130">
        <f t="shared" si="2"/>
        <v>60</v>
      </c>
      <c r="J3" s="98" t="s">
        <v>50</v>
      </c>
      <c r="K3">
        <f aca="true" t="shared" si="3" ref="K3:K11">+L2+1</f>
        <v>8</v>
      </c>
      <c r="L3">
        <f t="shared" si="0"/>
        <v>14</v>
      </c>
      <c r="M3">
        <f t="shared" si="1"/>
        <v>11</v>
      </c>
    </row>
    <row r="4" spans="1:13" ht="12.75">
      <c r="A4" s="122" t="s">
        <v>44</v>
      </c>
      <c r="B4" s="125">
        <v>0</v>
      </c>
      <c r="C4" s="125">
        <v>0</v>
      </c>
      <c r="D4" s="125">
        <v>0</v>
      </c>
      <c r="E4" s="125">
        <v>0</v>
      </c>
      <c r="F4" s="125">
        <v>0</v>
      </c>
      <c r="G4" s="125">
        <v>0</v>
      </c>
      <c r="H4" s="126">
        <v>0</v>
      </c>
      <c r="J4" s="98" t="s">
        <v>51</v>
      </c>
      <c r="K4">
        <f t="shared" si="3"/>
        <v>15</v>
      </c>
      <c r="L4">
        <f t="shared" si="0"/>
        <v>21</v>
      </c>
      <c r="M4">
        <f t="shared" si="1"/>
        <v>18</v>
      </c>
    </row>
    <row r="5" spans="1:13" ht="12.75">
      <c r="A5" s="122" t="s">
        <v>45</v>
      </c>
      <c r="B5" s="125">
        <v>0.25</v>
      </c>
      <c r="C5" s="125">
        <v>0</v>
      </c>
      <c r="D5" s="125">
        <v>0</v>
      </c>
      <c r="E5" s="125">
        <v>0</v>
      </c>
      <c r="F5" s="125">
        <v>0</v>
      </c>
      <c r="G5" s="125">
        <v>0</v>
      </c>
      <c r="H5" s="126">
        <v>0</v>
      </c>
      <c r="J5" s="98" t="s">
        <v>52</v>
      </c>
      <c r="K5">
        <f t="shared" si="3"/>
        <v>22</v>
      </c>
      <c r="L5">
        <f t="shared" si="0"/>
        <v>28</v>
      </c>
      <c r="M5">
        <f t="shared" si="1"/>
        <v>25</v>
      </c>
    </row>
    <row r="6" spans="1:13" ht="12.75">
      <c r="A6" s="122" t="s">
        <v>46</v>
      </c>
      <c r="B6" s="125">
        <v>0.75</v>
      </c>
      <c r="C6" s="125">
        <v>0.6</v>
      </c>
      <c r="D6" s="125">
        <v>0</v>
      </c>
      <c r="E6" s="125">
        <v>0</v>
      </c>
      <c r="F6" s="125">
        <v>0</v>
      </c>
      <c r="G6" s="125">
        <v>0</v>
      </c>
      <c r="H6" s="126">
        <v>0</v>
      </c>
      <c r="J6" s="98" t="s">
        <v>53</v>
      </c>
      <c r="K6">
        <f t="shared" si="3"/>
        <v>29</v>
      </c>
      <c r="L6">
        <f t="shared" si="0"/>
        <v>35</v>
      </c>
      <c r="M6">
        <f t="shared" si="1"/>
        <v>32</v>
      </c>
    </row>
    <row r="7" spans="1:13" ht="12.75">
      <c r="A7" s="122" t="s">
        <v>47</v>
      </c>
      <c r="B7" s="125">
        <v>0</v>
      </c>
      <c r="C7" s="125">
        <v>0.4</v>
      </c>
      <c r="D7" s="125">
        <v>0.8</v>
      </c>
      <c r="E7" s="125">
        <v>0.1</v>
      </c>
      <c r="F7" s="125">
        <v>0</v>
      </c>
      <c r="G7" s="125">
        <v>0</v>
      </c>
      <c r="H7" s="126">
        <v>0</v>
      </c>
      <c r="J7" s="98" t="s">
        <v>54</v>
      </c>
      <c r="K7">
        <f t="shared" si="3"/>
        <v>36</v>
      </c>
      <c r="L7">
        <f t="shared" si="0"/>
        <v>42</v>
      </c>
      <c r="M7">
        <f t="shared" si="1"/>
        <v>39</v>
      </c>
    </row>
    <row r="8" spans="1:13" ht="12.75">
      <c r="A8" s="122" t="s">
        <v>59</v>
      </c>
      <c r="B8" s="125">
        <v>0</v>
      </c>
      <c r="C8" s="125">
        <v>0</v>
      </c>
      <c r="D8" s="125">
        <v>0.2</v>
      </c>
      <c r="E8" s="125">
        <v>0.9</v>
      </c>
      <c r="F8" s="125">
        <v>0.4</v>
      </c>
      <c r="G8" s="125">
        <v>0</v>
      </c>
      <c r="H8" s="126">
        <v>0</v>
      </c>
      <c r="J8" s="98" t="s">
        <v>55</v>
      </c>
      <c r="K8">
        <f t="shared" si="3"/>
        <v>43</v>
      </c>
      <c r="L8">
        <f t="shared" si="0"/>
        <v>49</v>
      </c>
      <c r="M8">
        <f t="shared" si="1"/>
        <v>46</v>
      </c>
    </row>
    <row r="9" spans="1:13" ht="12.75">
      <c r="A9" s="122" t="s">
        <v>60</v>
      </c>
      <c r="B9" s="125">
        <v>0</v>
      </c>
      <c r="C9" s="125">
        <v>0</v>
      </c>
      <c r="D9" s="125">
        <v>0</v>
      </c>
      <c r="E9" s="125">
        <v>0</v>
      </c>
      <c r="F9" s="125">
        <v>0.6</v>
      </c>
      <c r="G9" s="125">
        <v>0.7</v>
      </c>
      <c r="H9" s="126">
        <v>0</v>
      </c>
      <c r="J9" s="98" t="s">
        <v>49</v>
      </c>
      <c r="K9">
        <f t="shared" si="3"/>
        <v>50</v>
      </c>
      <c r="L9">
        <f t="shared" si="0"/>
        <v>56</v>
      </c>
      <c r="M9">
        <f t="shared" si="1"/>
        <v>53</v>
      </c>
    </row>
    <row r="10" spans="1:13" ht="12.75">
      <c r="A10" s="122" t="s">
        <v>62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0.3</v>
      </c>
      <c r="H10" s="126">
        <v>1</v>
      </c>
      <c r="J10" s="98" t="s">
        <v>61</v>
      </c>
      <c r="K10">
        <f t="shared" si="3"/>
        <v>57</v>
      </c>
      <c r="L10">
        <f t="shared" si="0"/>
        <v>63</v>
      </c>
      <c r="M10">
        <f t="shared" si="1"/>
        <v>60</v>
      </c>
    </row>
    <row r="11" spans="1:13" ht="13" thickBot="1">
      <c r="A11" s="123" t="s">
        <v>97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8">
        <v>0</v>
      </c>
      <c r="J11" s="98" t="s">
        <v>98</v>
      </c>
      <c r="K11">
        <f t="shared" si="3"/>
        <v>64</v>
      </c>
      <c r="L11">
        <f t="shared" si="0"/>
        <v>70</v>
      </c>
      <c r="M11">
        <f t="shared" si="1"/>
        <v>67</v>
      </c>
    </row>
    <row r="12" ht="13" thickBot="1"/>
    <row r="13" spans="1:14" ht="12.75">
      <c r="A13" s="179" t="s">
        <v>99</v>
      </c>
      <c r="B13" s="180">
        <f>+'Cash Flow Forecast'!H5</f>
        <v>40</v>
      </c>
      <c r="C13" s="180">
        <f>+'Cash Flow Forecast'!I5</f>
        <v>40</v>
      </c>
      <c r="D13" s="180">
        <f>+'Cash Flow Forecast'!J5</f>
        <v>45</v>
      </c>
      <c r="E13" s="180">
        <f>+'Cash Flow Forecast'!K5</f>
        <v>50</v>
      </c>
      <c r="F13" s="180">
        <f>+'Cash Flow Forecast'!L5</f>
        <v>45</v>
      </c>
      <c r="G13" s="180">
        <f>+'Cash Flow Forecast'!M5</f>
        <v>45</v>
      </c>
      <c r="H13" s="180">
        <f>+'Cash Flow Forecast'!N5</f>
        <v>40</v>
      </c>
      <c r="I13" s="180">
        <f>+'Cash Flow Forecast'!O5</f>
        <v>40</v>
      </c>
      <c r="J13" s="180">
        <f>+'Cash Flow Forecast'!P5</f>
        <v>35</v>
      </c>
      <c r="K13" s="180">
        <f>+'Cash Flow Forecast'!Q5</f>
        <v>35</v>
      </c>
      <c r="L13" s="180">
        <f>+'Cash Flow Forecast'!R5</f>
        <v>35</v>
      </c>
      <c r="M13" s="180">
        <f>+'Cash Flow Forecast'!S5</f>
        <v>30</v>
      </c>
      <c r="N13" s="181">
        <f>+'Cash Flow Forecast'!T5</f>
        <v>30</v>
      </c>
    </row>
    <row r="14" spans="1:14" ht="12.75">
      <c r="A14" s="182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83"/>
    </row>
    <row r="15" spans="1:14" ht="12.75">
      <c r="A15" s="122" t="s">
        <v>44</v>
      </c>
      <c r="B15" s="125">
        <f aca="true" t="shared" si="4" ref="B15:N15">HLOOKUP(B13,$B$3:$H$11,2,0)</f>
        <v>0</v>
      </c>
      <c r="C15" s="125">
        <f t="shared" si="4"/>
        <v>0</v>
      </c>
      <c r="D15" s="125">
        <f t="shared" si="4"/>
        <v>0</v>
      </c>
      <c r="E15" s="125">
        <f t="shared" si="4"/>
        <v>0</v>
      </c>
      <c r="F15" s="125">
        <f t="shared" si="4"/>
        <v>0</v>
      </c>
      <c r="G15" s="125">
        <f t="shared" si="4"/>
        <v>0</v>
      </c>
      <c r="H15" s="125">
        <f t="shared" si="4"/>
        <v>0</v>
      </c>
      <c r="I15" s="125">
        <f t="shared" si="4"/>
        <v>0</v>
      </c>
      <c r="J15" s="125">
        <f t="shared" si="4"/>
        <v>0</v>
      </c>
      <c r="K15" s="125">
        <f t="shared" si="4"/>
        <v>0</v>
      </c>
      <c r="L15" s="125">
        <f t="shared" si="4"/>
        <v>0</v>
      </c>
      <c r="M15" s="125">
        <f t="shared" si="4"/>
        <v>0</v>
      </c>
      <c r="N15" s="126">
        <f t="shared" si="4"/>
        <v>0</v>
      </c>
    </row>
    <row r="16" spans="1:14" ht="12.75">
      <c r="A16" s="122" t="s">
        <v>45</v>
      </c>
      <c r="B16" s="125">
        <f aca="true" t="shared" si="5" ref="B16:N16">HLOOKUP(B$13,$B$3:$H$11,3,0)</f>
        <v>0</v>
      </c>
      <c r="C16" s="125">
        <f t="shared" si="5"/>
        <v>0</v>
      </c>
      <c r="D16" s="125">
        <f t="shared" si="5"/>
        <v>0</v>
      </c>
      <c r="E16" s="125">
        <f t="shared" si="5"/>
        <v>0</v>
      </c>
      <c r="F16" s="125">
        <f t="shared" si="5"/>
        <v>0</v>
      </c>
      <c r="G16" s="125">
        <f t="shared" si="5"/>
        <v>0</v>
      </c>
      <c r="H16" s="125">
        <f t="shared" si="5"/>
        <v>0</v>
      </c>
      <c r="I16" s="125">
        <f t="shared" si="5"/>
        <v>0</v>
      </c>
      <c r="J16" s="125">
        <f t="shared" si="5"/>
        <v>0</v>
      </c>
      <c r="K16" s="125">
        <f t="shared" si="5"/>
        <v>0</v>
      </c>
      <c r="L16" s="125">
        <f t="shared" si="5"/>
        <v>0</v>
      </c>
      <c r="M16" s="125">
        <f t="shared" si="5"/>
        <v>0.25</v>
      </c>
      <c r="N16" s="126">
        <f t="shared" si="5"/>
        <v>0.25</v>
      </c>
    </row>
    <row r="17" spans="1:14" ht="12.75">
      <c r="A17" s="122" t="s">
        <v>46</v>
      </c>
      <c r="B17" s="125">
        <f aca="true" t="shared" si="6" ref="B17:N17">HLOOKUP(B$13,$B$3:$H$11,4,0)</f>
        <v>0</v>
      </c>
      <c r="C17" s="125">
        <f t="shared" si="6"/>
        <v>0</v>
      </c>
      <c r="D17" s="125">
        <f t="shared" si="6"/>
        <v>0</v>
      </c>
      <c r="E17" s="125">
        <f t="shared" si="6"/>
        <v>0</v>
      </c>
      <c r="F17" s="125">
        <f t="shared" si="6"/>
        <v>0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0.6</v>
      </c>
      <c r="K17" s="125">
        <f t="shared" si="6"/>
        <v>0.6</v>
      </c>
      <c r="L17" s="125">
        <f t="shared" si="6"/>
        <v>0.6</v>
      </c>
      <c r="M17" s="125">
        <f t="shared" si="6"/>
        <v>0.75</v>
      </c>
      <c r="N17" s="126">
        <f t="shared" si="6"/>
        <v>0.75</v>
      </c>
    </row>
    <row r="18" spans="1:14" ht="12.75">
      <c r="A18" s="122" t="s">
        <v>47</v>
      </c>
      <c r="B18" s="125">
        <f aca="true" t="shared" si="7" ref="B18:N18">HLOOKUP(B$13,$B$3:$H$11,5,0)</f>
        <v>0.8</v>
      </c>
      <c r="C18" s="125">
        <f t="shared" si="7"/>
        <v>0.8</v>
      </c>
      <c r="D18" s="125">
        <f t="shared" si="7"/>
        <v>0.1</v>
      </c>
      <c r="E18" s="125">
        <f t="shared" si="7"/>
        <v>0</v>
      </c>
      <c r="F18" s="125">
        <f t="shared" si="7"/>
        <v>0.1</v>
      </c>
      <c r="G18" s="125">
        <f t="shared" si="7"/>
        <v>0.1</v>
      </c>
      <c r="H18" s="125">
        <f t="shared" si="7"/>
        <v>0.8</v>
      </c>
      <c r="I18" s="125">
        <f t="shared" si="7"/>
        <v>0.8</v>
      </c>
      <c r="J18" s="125">
        <f t="shared" si="7"/>
        <v>0.4</v>
      </c>
      <c r="K18" s="125">
        <f t="shared" si="7"/>
        <v>0.4</v>
      </c>
      <c r="L18" s="125">
        <f t="shared" si="7"/>
        <v>0.4</v>
      </c>
      <c r="M18" s="125">
        <f t="shared" si="7"/>
        <v>0</v>
      </c>
      <c r="N18" s="126">
        <f t="shared" si="7"/>
        <v>0</v>
      </c>
    </row>
    <row r="19" spans="1:14" ht="12.75">
      <c r="A19" s="122" t="s">
        <v>59</v>
      </c>
      <c r="B19" s="125">
        <f aca="true" t="shared" si="8" ref="B19:N19">HLOOKUP(B$13,$B$3:$H$11,6,0)</f>
        <v>0.2</v>
      </c>
      <c r="C19" s="125">
        <f t="shared" si="8"/>
        <v>0.2</v>
      </c>
      <c r="D19" s="125">
        <f t="shared" si="8"/>
        <v>0.9</v>
      </c>
      <c r="E19" s="125">
        <f t="shared" si="8"/>
        <v>0.4</v>
      </c>
      <c r="F19" s="125">
        <f t="shared" si="8"/>
        <v>0.9</v>
      </c>
      <c r="G19" s="125">
        <f t="shared" si="8"/>
        <v>0.9</v>
      </c>
      <c r="H19" s="125">
        <f t="shared" si="8"/>
        <v>0.2</v>
      </c>
      <c r="I19" s="125">
        <f t="shared" si="8"/>
        <v>0.2</v>
      </c>
      <c r="J19" s="125">
        <f t="shared" si="8"/>
        <v>0</v>
      </c>
      <c r="K19" s="125">
        <f t="shared" si="8"/>
        <v>0</v>
      </c>
      <c r="L19" s="125">
        <f t="shared" si="8"/>
        <v>0</v>
      </c>
      <c r="M19" s="125">
        <f t="shared" si="8"/>
        <v>0</v>
      </c>
      <c r="N19" s="126">
        <f t="shared" si="8"/>
        <v>0</v>
      </c>
    </row>
    <row r="20" spans="1:14" ht="12.75">
      <c r="A20" s="122" t="s">
        <v>60</v>
      </c>
      <c r="B20" s="125">
        <f aca="true" t="shared" si="9" ref="B20:N20">HLOOKUP(B$13,$B$3:$H$11,7,0)</f>
        <v>0</v>
      </c>
      <c r="C20" s="125">
        <f t="shared" si="9"/>
        <v>0</v>
      </c>
      <c r="D20" s="125">
        <f t="shared" si="9"/>
        <v>0</v>
      </c>
      <c r="E20" s="125">
        <f t="shared" si="9"/>
        <v>0.6</v>
      </c>
      <c r="F20" s="125">
        <f t="shared" si="9"/>
        <v>0</v>
      </c>
      <c r="G20" s="125">
        <f t="shared" si="9"/>
        <v>0</v>
      </c>
      <c r="H20" s="125">
        <f t="shared" si="9"/>
        <v>0</v>
      </c>
      <c r="I20" s="125">
        <f t="shared" si="9"/>
        <v>0</v>
      </c>
      <c r="J20" s="125">
        <f t="shared" si="9"/>
        <v>0</v>
      </c>
      <c r="K20" s="125">
        <f t="shared" si="9"/>
        <v>0</v>
      </c>
      <c r="L20" s="125">
        <f t="shared" si="9"/>
        <v>0</v>
      </c>
      <c r="M20" s="125">
        <f t="shared" si="9"/>
        <v>0</v>
      </c>
      <c r="N20" s="126">
        <f t="shared" si="9"/>
        <v>0</v>
      </c>
    </row>
    <row r="21" spans="1:14" ht="12.75">
      <c r="A21" s="122" t="s">
        <v>62</v>
      </c>
      <c r="B21" s="125">
        <f aca="true" t="shared" si="10" ref="B21:N21">HLOOKUP(B$13,$B$3:$H$11,8,0)</f>
        <v>0</v>
      </c>
      <c r="C21" s="125">
        <f t="shared" si="10"/>
        <v>0</v>
      </c>
      <c r="D21" s="125">
        <f t="shared" si="10"/>
        <v>0</v>
      </c>
      <c r="E21" s="125">
        <f t="shared" si="10"/>
        <v>0</v>
      </c>
      <c r="F21" s="125">
        <f t="shared" si="10"/>
        <v>0</v>
      </c>
      <c r="G21" s="125">
        <f t="shared" si="10"/>
        <v>0</v>
      </c>
      <c r="H21" s="125">
        <f t="shared" si="10"/>
        <v>0</v>
      </c>
      <c r="I21" s="125">
        <f t="shared" si="10"/>
        <v>0</v>
      </c>
      <c r="J21" s="125">
        <f t="shared" si="10"/>
        <v>0</v>
      </c>
      <c r="K21" s="125">
        <f t="shared" si="10"/>
        <v>0</v>
      </c>
      <c r="L21" s="125">
        <f t="shared" si="10"/>
        <v>0</v>
      </c>
      <c r="M21" s="125">
        <f t="shared" si="10"/>
        <v>0</v>
      </c>
      <c r="N21" s="126">
        <f t="shared" si="10"/>
        <v>0</v>
      </c>
    </row>
    <row r="22" spans="1:14" ht="13" thickBot="1">
      <c r="A22" s="123" t="s">
        <v>97</v>
      </c>
      <c r="B22" s="127">
        <f aca="true" t="shared" si="11" ref="B22:N22">HLOOKUP(B$13,$B$3:$H$11,9,0)</f>
        <v>0</v>
      </c>
      <c r="C22" s="127">
        <f t="shared" si="11"/>
        <v>0</v>
      </c>
      <c r="D22" s="127">
        <f t="shared" si="11"/>
        <v>0</v>
      </c>
      <c r="E22" s="127">
        <f t="shared" si="11"/>
        <v>0</v>
      </c>
      <c r="F22" s="127">
        <f t="shared" si="11"/>
        <v>0</v>
      </c>
      <c r="G22" s="127">
        <f t="shared" si="11"/>
        <v>0</v>
      </c>
      <c r="H22" s="127">
        <f t="shared" si="11"/>
        <v>0</v>
      </c>
      <c r="I22" s="127">
        <f t="shared" si="11"/>
        <v>0</v>
      </c>
      <c r="J22" s="127">
        <f t="shared" si="11"/>
        <v>0</v>
      </c>
      <c r="K22" s="127">
        <f t="shared" si="11"/>
        <v>0</v>
      </c>
      <c r="L22" s="127">
        <f t="shared" si="11"/>
        <v>0</v>
      </c>
      <c r="M22" s="127">
        <f t="shared" si="11"/>
        <v>0</v>
      </c>
      <c r="N22" s="128">
        <f t="shared" si="11"/>
        <v>0</v>
      </c>
    </row>
    <row r="23" ht="13" thickBot="1"/>
    <row r="24" spans="1:14" ht="12.75">
      <c r="A24" s="179" t="s">
        <v>112</v>
      </c>
      <c r="B24" s="180">
        <f>+'Cash Flow Forecast'!H6</f>
        <v>40</v>
      </c>
      <c r="C24" s="180">
        <f>+'Cash Flow Forecast'!I6</f>
        <v>40</v>
      </c>
      <c r="D24" s="180">
        <f>+'Cash Flow Forecast'!J6</f>
        <v>40</v>
      </c>
      <c r="E24" s="180">
        <f>+'Cash Flow Forecast'!K6</f>
        <v>40</v>
      </c>
      <c r="F24" s="180">
        <f>+'Cash Flow Forecast'!L6</f>
        <v>40</v>
      </c>
      <c r="G24" s="180">
        <f>+'Cash Flow Forecast'!M6</f>
        <v>40</v>
      </c>
      <c r="H24" s="180">
        <f>+'Cash Flow Forecast'!N6</f>
        <v>40</v>
      </c>
      <c r="I24" s="180">
        <f>+'Cash Flow Forecast'!O6</f>
        <v>35</v>
      </c>
      <c r="J24" s="180">
        <f>+'Cash Flow Forecast'!P6</f>
        <v>35</v>
      </c>
      <c r="K24" s="180">
        <f>+'Cash Flow Forecast'!Q6</f>
        <v>35</v>
      </c>
      <c r="L24" s="180">
        <f>+'Cash Flow Forecast'!R6</f>
        <v>35</v>
      </c>
      <c r="M24" s="180">
        <f>+'Cash Flow Forecast'!S6</f>
        <v>35</v>
      </c>
      <c r="N24" s="181">
        <f>+'Cash Flow Forecast'!T6</f>
        <v>30</v>
      </c>
    </row>
    <row r="25" spans="1:14" ht="12.75">
      <c r="A25" s="182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83"/>
    </row>
    <row r="26" spans="1:14" ht="12.75">
      <c r="A26" s="122" t="s">
        <v>44</v>
      </c>
      <c r="B26" s="125">
        <f aca="true" t="shared" si="12" ref="B26:N26">HLOOKUP(B$24,$B$3:$H$11,2,0)</f>
        <v>0</v>
      </c>
      <c r="C26" s="125">
        <f t="shared" si="12"/>
        <v>0</v>
      </c>
      <c r="D26" s="125">
        <f t="shared" si="12"/>
        <v>0</v>
      </c>
      <c r="E26" s="125">
        <f t="shared" si="12"/>
        <v>0</v>
      </c>
      <c r="F26" s="125">
        <f t="shared" si="12"/>
        <v>0</v>
      </c>
      <c r="G26" s="125">
        <f t="shared" si="12"/>
        <v>0</v>
      </c>
      <c r="H26" s="125">
        <f t="shared" si="12"/>
        <v>0</v>
      </c>
      <c r="I26" s="125">
        <f t="shared" si="12"/>
        <v>0</v>
      </c>
      <c r="J26" s="125">
        <f t="shared" si="12"/>
        <v>0</v>
      </c>
      <c r="K26" s="125">
        <f t="shared" si="12"/>
        <v>0</v>
      </c>
      <c r="L26" s="125">
        <f t="shared" si="12"/>
        <v>0</v>
      </c>
      <c r="M26" s="125">
        <f t="shared" si="12"/>
        <v>0</v>
      </c>
      <c r="N26" s="126">
        <f t="shared" si="12"/>
        <v>0</v>
      </c>
    </row>
    <row r="27" spans="1:14" ht="12.75">
      <c r="A27" s="122" t="s">
        <v>45</v>
      </c>
      <c r="B27" s="125">
        <f aca="true" t="shared" si="13" ref="B27:N27">HLOOKUP(B$24,$B$3:$H$11,3,0)</f>
        <v>0</v>
      </c>
      <c r="C27" s="125">
        <f t="shared" si="13"/>
        <v>0</v>
      </c>
      <c r="D27" s="125">
        <f t="shared" si="13"/>
        <v>0</v>
      </c>
      <c r="E27" s="125">
        <f t="shared" si="13"/>
        <v>0</v>
      </c>
      <c r="F27" s="125">
        <f t="shared" si="13"/>
        <v>0</v>
      </c>
      <c r="G27" s="125">
        <f t="shared" si="13"/>
        <v>0</v>
      </c>
      <c r="H27" s="125">
        <f t="shared" si="13"/>
        <v>0</v>
      </c>
      <c r="I27" s="125">
        <f t="shared" si="13"/>
        <v>0</v>
      </c>
      <c r="J27" s="125">
        <f t="shared" si="13"/>
        <v>0</v>
      </c>
      <c r="K27" s="125">
        <f t="shared" si="13"/>
        <v>0</v>
      </c>
      <c r="L27" s="125">
        <f t="shared" si="13"/>
        <v>0</v>
      </c>
      <c r="M27" s="125">
        <f t="shared" si="13"/>
        <v>0</v>
      </c>
      <c r="N27" s="126">
        <f t="shared" si="13"/>
        <v>0.25</v>
      </c>
    </row>
    <row r="28" spans="1:14" ht="12.75">
      <c r="A28" s="122" t="s">
        <v>46</v>
      </c>
      <c r="B28" s="125">
        <f aca="true" t="shared" si="14" ref="B28:N28">HLOOKUP(B$24,$B$3:$H$11,4,0)</f>
        <v>0</v>
      </c>
      <c r="C28" s="125">
        <f t="shared" si="14"/>
        <v>0</v>
      </c>
      <c r="D28" s="125">
        <f t="shared" si="14"/>
        <v>0</v>
      </c>
      <c r="E28" s="125">
        <f t="shared" si="14"/>
        <v>0</v>
      </c>
      <c r="F28" s="125">
        <f t="shared" si="14"/>
        <v>0</v>
      </c>
      <c r="G28" s="125">
        <f t="shared" si="14"/>
        <v>0</v>
      </c>
      <c r="H28" s="125">
        <f t="shared" si="14"/>
        <v>0</v>
      </c>
      <c r="I28" s="125">
        <f t="shared" si="14"/>
        <v>0.6</v>
      </c>
      <c r="J28" s="125">
        <f t="shared" si="14"/>
        <v>0.6</v>
      </c>
      <c r="K28" s="125">
        <f t="shared" si="14"/>
        <v>0.6</v>
      </c>
      <c r="L28" s="125">
        <f t="shared" si="14"/>
        <v>0.6</v>
      </c>
      <c r="M28" s="125">
        <f t="shared" si="14"/>
        <v>0.6</v>
      </c>
      <c r="N28" s="126">
        <f t="shared" si="14"/>
        <v>0.75</v>
      </c>
    </row>
    <row r="29" spans="1:14" ht="12.75">
      <c r="A29" s="122" t="s">
        <v>47</v>
      </c>
      <c r="B29" s="125">
        <f aca="true" t="shared" si="15" ref="B29:N29">HLOOKUP(B$24,$B$3:$H$11,5,0)</f>
        <v>0.8</v>
      </c>
      <c r="C29" s="125">
        <f t="shared" si="15"/>
        <v>0.8</v>
      </c>
      <c r="D29" s="125">
        <f t="shared" si="15"/>
        <v>0.8</v>
      </c>
      <c r="E29" s="125">
        <f t="shared" si="15"/>
        <v>0.8</v>
      </c>
      <c r="F29" s="125">
        <f t="shared" si="15"/>
        <v>0.8</v>
      </c>
      <c r="G29" s="125">
        <f t="shared" si="15"/>
        <v>0.8</v>
      </c>
      <c r="H29" s="125">
        <f t="shared" si="15"/>
        <v>0.8</v>
      </c>
      <c r="I29" s="125">
        <f t="shared" si="15"/>
        <v>0.4</v>
      </c>
      <c r="J29" s="125">
        <f t="shared" si="15"/>
        <v>0.4</v>
      </c>
      <c r="K29" s="125">
        <f t="shared" si="15"/>
        <v>0.4</v>
      </c>
      <c r="L29" s="125">
        <f t="shared" si="15"/>
        <v>0.4</v>
      </c>
      <c r="M29" s="125">
        <f t="shared" si="15"/>
        <v>0.4</v>
      </c>
      <c r="N29" s="126">
        <f t="shared" si="15"/>
        <v>0</v>
      </c>
    </row>
    <row r="30" spans="1:14" ht="12.75">
      <c r="A30" s="122" t="s">
        <v>59</v>
      </c>
      <c r="B30" s="125">
        <f aca="true" t="shared" si="16" ref="B30:N30">HLOOKUP(B$24,$B$3:$H$11,6,0)</f>
        <v>0.2</v>
      </c>
      <c r="C30" s="125">
        <f t="shared" si="16"/>
        <v>0.2</v>
      </c>
      <c r="D30" s="125">
        <f t="shared" si="16"/>
        <v>0.2</v>
      </c>
      <c r="E30" s="125">
        <f t="shared" si="16"/>
        <v>0.2</v>
      </c>
      <c r="F30" s="125">
        <f t="shared" si="16"/>
        <v>0.2</v>
      </c>
      <c r="G30" s="125">
        <f t="shared" si="16"/>
        <v>0.2</v>
      </c>
      <c r="H30" s="125">
        <f t="shared" si="16"/>
        <v>0.2</v>
      </c>
      <c r="I30" s="125">
        <f t="shared" si="16"/>
        <v>0</v>
      </c>
      <c r="J30" s="125">
        <f t="shared" si="16"/>
        <v>0</v>
      </c>
      <c r="K30" s="125">
        <f t="shared" si="16"/>
        <v>0</v>
      </c>
      <c r="L30" s="125">
        <f t="shared" si="16"/>
        <v>0</v>
      </c>
      <c r="M30" s="125">
        <f t="shared" si="16"/>
        <v>0</v>
      </c>
      <c r="N30" s="126">
        <f t="shared" si="16"/>
        <v>0</v>
      </c>
    </row>
    <row r="31" spans="1:14" ht="12.75">
      <c r="A31" s="122" t="s">
        <v>60</v>
      </c>
      <c r="B31" s="125">
        <f aca="true" t="shared" si="17" ref="B31:N31">HLOOKUP(B$24,$B$3:$H$11,7,0)</f>
        <v>0</v>
      </c>
      <c r="C31" s="125">
        <f t="shared" si="17"/>
        <v>0</v>
      </c>
      <c r="D31" s="125">
        <f t="shared" si="17"/>
        <v>0</v>
      </c>
      <c r="E31" s="125">
        <f t="shared" si="17"/>
        <v>0</v>
      </c>
      <c r="F31" s="125">
        <f t="shared" si="17"/>
        <v>0</v>
      </c>
      <c r="G31" s="125">
        <f t="shared" si="17"/>
        <v>0</v>
      </c>
      <c r="H31" s="125">
        <f t="shared" si="17"/>
        <v>0</v>
      </c>
      <c r="I31" s="125">
        <f t="shared" si="17"/>
        <v>0</v>
      </c>
      <c r="J31" s="125">
        <f t="shared" si="17"/>
        <v>0</v>
      </c>
      <c r="K31" s="125">
        <f t="shared" si="17"/>
        <v>0</v>
      </c>
      <c r="L31" s="125">
        <f t="shared" si="17"/>
        <v>0</v>
      </c>
      <c r="M31" s="125">
        <f t="shared" si="17"/>
        <v>0</v>
      </c>
      <c r="N31" s="126">
        <f t="shared" si="17"/>
        <v>0</v>
      </c>
    </row>
    <row r="32" spans="1:14" ht="12.75">
      <c r="A32" s="122" t="s">
        <v>62</v>
      </c>
      <c r="B32" s="125">
        <f aca="true" t="shared" si="18" ref="B32:N32">HLOOKUP(B$24,$B$3:$H$11,8,0)</f>
        <v>0</v>
      </c>
      <c r="C32" s="125">
        <f t="shared" si="18"/>
        <v>0</v>
      </c>
      <c r="D32" s="125">
        <f t="shared" si="18"/>
        <v>0</v>
      </c>
      <c r="E32" s="125">
        <f t="shared" si="18"/>
        <v>0</v>
      </c>
      <c r="F32" s="125">
        <f t="shared" si="18"/>
        <v>0</v>
      </c>
      <c r="G32" s="125">
        <f t="shared" si="18"/>
        <v>0</v>
      </c>
      <c r="H32" s="125">
        <f t="shared" si="18"/>
        <v>0</v>
      </c>
      <c r="I32" s="125">
        <f t="shared" si="18"/>
        <v>0</v>
      </c>
      <c r="J32" s="125">
        <f t="shared" si="18"/>
        <v>0</v>
      </c>
      <c r="K32" s="125">
        <f t="shared" si="18"/>
        <v>0</v>
      </c>
      <c r="L32" s="125">
        <f t="shared" si="18"/>
        <v>0</v>
      </c>
      <c r="M32" s="125">
        <f t="shared" si="18"/>
        <v>0</v>
      </c>
      <c r="N32" s="126">
        <f t="shared" si="18"/>
        <v>0</v>
      </c>
    </row>
    <row r="33" spans="1:14" ht="13" thickBot="1">
      <c r="A33" s="123" t="s">
        <v>97</v>
      </c>
      <c r="B33" s="127">
        <f aca="true" t="shared" si="19" ref="B33:N33">HLOOKUP(B$24,$B$3:$H$11,9,0)</f>
        <v>0</v>
      </c>
      <c r="C33" s="127">
        <f t="shared" si="19"/>
        <v>0</v>
      </c>
      <c r="D33" s="127">
        <f t="shared" si="19"/>
        <v>0</v>
      </c>
      <c r="E33" s="127">
        <f t="shared" si="19"/>
        <v>0</v>
      </c>
      <c r="F33" s="127">
        <f t="shared" si="19"/>
        <v>0</v>
      </c>
      <c r="G33" s="127">
        <f t="shared" si="19"/>
        <v>0</v>
      </c>
      <c r="H33" s="127">
        <f t="shared" si="19"/>
        <v>0</v>
      </c>
      <c r="I33" s="127">
        <f t="shared" si="19"/>
        <v>0</v>
      </c>
      <c r="J33" s="127">
        <f t="shared" si="19"/>
        <v>0</v>
      </c>
      <c r="K33" s="127">
        <f t="shared" si="19"/>
        <v>0</v>
      </c>
      <c r="L33" s="127">
        <f t="shared" si="19"/>
        <v>0</v>
      </c>
      <c r="M33" s="127">
        <f t="shared" si="19"/>
        <v>0</v>
      </c>
      <c r="N33" s="128">
        <f t="shared" si="19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Forecast</dc:title>
  <dc:subject>Cash Flow Forecast</dc:subject>
  <dc:creator>tim.seidel@wegnercpas.com</dc:creator>
  <cp:keywords>Wegner CPAs</cp:keywords>
  <dc:description/>
  <cp:lastModifiedBy>nancylmcclelland nancylmcclelland</cp:lastModifiedBy>
  <cp:lastPrinted>2008-05-19T13:23:51Z</cp:lastPrinted>
  <dcterms:created xsi:type="dcterms:W3CDTF">2008-05-19T02:09:07Z</dcterms:created>
  <dcterms:modified xsi:type="dcterms:W3CDTF">2020-05-11T16:20:55Z</dcterms:modified>
  <cp:category/>
  <cp:version/>
  <cp:contentType/>
  <cp:contentStatus/>
</cp:coreProperties>
</file>